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hild Nutrition Programs\National School Lunch\Reports\Free, Reduced Price Report and procedures\2019-2020 Free, Reduced Price Report\"/>
    </mc:Choice>
  </mc:AlternateContent>
  <xr:revisionPtr revIDLastSave="0" documentId="13_ncr:1_{50967453-06F7-4D9C-9D8D-38D3E200EC4C}" xr6:coauthVersionLast="46" xr6:coauthVersionMax="46" xr10:uidLastSave="{00000000-0000-0000-0000-000000000000}"/>
  <bookViews>
    <workbookView minimized="1" xWindow="1950" yWindow="930" windowWidth="21600" windowHeight="15270" xr2:uid="{00000000-000D-0000-FFFF-FFFF00000000}"/>
  </bookViews>
  <sheets>
    <sheet name="Oct. 2020 Dat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3" i="3" l="1"/>
  <c r="F251" i="3" l="1"/>
  <c r="F250" i="3"/>
  <c r="F249" i="3"/>
  <c r="F248" i="3"/>
  <c r="F247" i="3"/>
  <c r="F246" i="3"/>
  <c r="F245" i="3"/>
  <c r="F244" i="3"/>
  <c r="C420" i="3" l="1"/>
  <c r="C416" i="3"/>
  <c r="C414" i="3"/>
  <c r="C413" i="3"/>
  <c r="C454" i="3" l="1"/>
  <c r="C453" i="3"/>
  <c r="C452" i="3"/>
  <c r="C451" i="3"/>
  <c r="C450" i="3"/>
  <c r="C449" i="3"/>
  <c r="C447" i="3"/>
  <c r="C446" i="3"/>
  <c r="C445" i="3"/>
  <c r="C458" i="3" l="1"/>
  <c r="C457" i="3"/>
  <c r="C456" i="3"/>
  <c r="C443" i="3"/>
  <c r="C442" i="3"/>
  <c r="C441" i="3"/>
  <c r="C440" i="3"/>
  <c r="C439" i="3"/>
  <c r="C438" i="3"/>
  <c r="C429" i="3" l="1"/>
  <c r="C428" i="3"/>
  <c r="C427" i="3"/>
  <c r="C426" i="3"/>
  <c r="C425" i="3"/>
  <c r="C424" i="3"/>
  <c r="C423" i="3"/>
  <c r="C422" i="3"/>
  <c r="F419" i="3"/>
  <c r="F418" i="3"/>
  <c r="F415" i="3"/>
  <c r="C405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6" i="3"/>
  <c r="C385" i="3"/>
  <c r="C384" i="3"/>
  <c r="F383" i="3"/>
  <c r="F382" i="3"/>
  <c r="F381" i="3"/>
  <c r="F380" i="3"/>
  <c r="F379" i="3"/>
  <c r="F378" i="3"/>
  <c r="F377" i="3"/>
  <c r="F376" i="3"/>
  <c r="C374" i="3"/>
  <c r="C372" i="3"/>
  <c r="C370" i="3"/>
  <c r="C368" i="3"/>
  <c r="F366" i="3"/>
  <c r="F365" i="3"/>
  <c r="F364" i="3"/>
  <c r="F363" i="3"/>
  <c r="F361" i="3"/>
  <c r="F359" i="3"/>
  <c r="F358" i="3"/>
  <c r="F356" i="3"/>
  <c r="F355" i="3"/>
  <c r="F354" i="3"/>
  <c r="F353" i="3"/>
  <c r="F352" i="3"/>
  <c r="F351" i="3"/>
  <c r="F350" i="3"/>
  <c r="F348" i="3"/>
  <c r="F347" i="3"/>
  <c r="F346" i="3"/>
  <c r="F345" i="3"/>
  <c r="F344" i="3"/>
  <c r="F341" i="3"/>
  <c r="F340" i="3"/>
  <c r="F339" i="3"/>
  <c r="F338" i="3"/>
  <c r="F337" i="3"/>
  <c r="F336" i="3"/>
  <c r="F335" i="3"/>
  <c r="F334" i="3"/>
  <c r="F333" i="3"/>
  <c r="C362" i="3"/>
  <c r="C360" i="3"/>
  <c r="C357" i="3"/>
  <c r="C349" i="3"/>
  <c r="C343" i="3"/>
  <c r="C342" i="3"/>
  <c r="C332" i="3"/>
  <c r="C331" i="3"/>
  <c r="C329" i="3" l="1"/>
  <c r="C328" i="3"/>
  <c r="C327" i="3"/>
  <c r="C326" i="3"/>
  <c r="C325" i="3"/>
  <c r="C324" i="3"/>
  <c r="C323" i="3"/>
  <c r="C322" i="3"/>
  <c r="C321" i="3"/>
  <c r="C320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7" i="3"/>
  <c r="C276" i="3"/>
  <c r="C275" i="3"/>
  <c r="C274" i="3"/>
  <c r="C273" i="3"/>
  <c r="C272" i="3"/>
  <c r="C271" i="3"/>
  <c r="C270" i="3"/>
  <c r="C269" i="3"/>
  <c r="C267" i="3"/>
  <c r="C265" i="3"/>
  <c r="C264" i="3"/>
  <c r="C256" i="3"/>
  <c r="C255" i="3"/>
  <c r="C240" i="3"/>
  <c r="C224" i="3"/>
  <c r="C221" i="3"/>
  <c r="C210" i="3"/>
  <c r="C206" i="3"/>
  <c r="C202" i="3"/>
  <c r="C188" i="3"/>
  <c r="C187" i="3"/>
  <c r="C186" i="3"/>
  <c r="C185" i="3"/>
  <c r="C184" i="3"/>
  <c r="C183" i="3"/>
  <c r="C182" i="3"/>
  <c r="C180" i="3"/>
  <c r="C178" i="3"/>
  <c r="C174" i="3"/>
  <c r="C173" i="3"/>
  <c r="C172" i="3"/>
  <c r="F141" i="3"/>
  <c r="F142" i="3"/>
  <c r="C136" i="3"/>
  <c r="C135" i="3"/>
  <c r="C126" i="3"/>
  <c r="C125" i="3"/>
  <c r="C120" i="3"/>
  <c r="C119" i="3"/>
  <c r="C117" i="3"/>
  <c r="C116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8" i="3"/>
  <c r="C97" i="3"/>
  <c r="C96" i="3"/>
  <c r="F89" i="3"/>
  <c r="F87" i="3"/>
  <c r="F86" i="3"/>
  <c r="F85" i="3"/>
  <c r="F84" i="3"/>
  <c r="F83" i="3"/>
  <c r="F81" i="3"/>
  <c r="F79" i="3"/>
  <c r="F78" i="3"/>
  <c r="F77" i="3"/>
  <c r="F76" i="3"/>
  <c r="F74" i="3"/>
  <c r="F73" i="3"/>
  <c r="F72" i="3"/>
  <c r="F71" i="3"/>
  <c r="F69" i="3"/>
  <c r="F68" i="3"/>
  <c r="F67" i="3"/>
  <c r="F66" i="3"/>
  <c r="F63" i="3"/>
  <c r="F57" i="3"/>
  <c r="F56" i="3"/>
  <c r="F54" i="3"/>
  <c r="F52" i="3"/>
  <c r="F51" i="3"/>
  <c r="F50" i="3"/>
  <c r="F49" i="3"/>
  <c r="F48" i="3"/>
  <c r="F47" i="3"/>
  <c r="F44" i="3"/>
  <c r="F42" i="3"/>
  <c r="F41" i="3"/>
  <c r="F38" i="3"/>
  <c r="F36" i="3"/>
  <c r="F35" i="3"/>
  <c r="F31" i="3"/>
  <c r="F30" i="3"/>
  <c r="F29" i="3"/>
  <c r="F25" i="3"/>
  <c r="F24" i="3"/>
  <c r="F23" i="3"/>
  <c r="F21" i="3"/>
  <c r="F20" i="3"/>
  <c r="F16" i="3"/>
  <c r="F15" i="3"/>
  <c r="C94" i="3"/>
  <c r="C93" i="3"/>
  <c r="C92" i="3"/>
  <c r="C91" i="3"/>
  <c r="C90" i="3"/>
  <c r="C88" i="3"/>
  <c r="C82" i="3"/>
  <c r="C80" i="3"/>
  <c r="C75" i="3"/>
  <c r="C70" i="3"/>
  <c r="C65" i="3"/>
  <c r="C64" i="3"/>
  <c r="C62" i="3"/>
  <c r="C61" i="3"/>
  <c r="C60" i="3"/>
  <c r="C58" i="3"/>
  <c r="C55" i="3"/>
  <c r="C53" i="3"/>
  <c r="C45" i="3"/>
  <c r="C43" i="3"/>
  <c r="C40" i="3"/>
  <c r="C39" i="3"/>
  <c r="C34" i="3"/>
  <c r="C33" i="3"/>
  <c r="C32" i="3"/>
  <c r="C28" i="3"/>
  <c r="C27" i="3"/>
  <c r="C26" i="3"/>
  <c r="C22" i="3"/>
  <c r="C19" i="3"/>
  <c r="C18" i="3"/>
  <c r="C17" i="3"/>
  <c r="C14" i="3"/>
  <c r="C13" i="3"/>
  <c r="C12" i="3"/>
  <c r="C10" i="3"/>
  <c r="C9" i="3"/>
  <c r="C8" i="3"/>
  <c r="C7" i="3"/>
  <c r="C6" i="3"/>
  <c r="C5" i="3"/>
  <c r="C4" i="3"/>
  <c r="F242" i="3" l="1"/>
  <c r="F241" i="3"/>
  <c r="F239" i="3"/>
  <c r="F238" i="3"/>
  <c r="F236" i="3"/>
  <c r="F235" i="3"/>
  <c r="F234" i="3"/>
  <c r="F233" i="3"/>
  <c r="F232" i="3"/>
  <c r="F231" i="3"/>
  <c r="F230" i="3"/>
  <c r="F229" i="3"/>
  <c r="F228" i="3"/>
  <c r="F226" i="3"/>
  <c r="F225" i="3"/>
  <c r="F223" i="3"/>
  <c r="F222" i="3"/>
  <c r="F220" i="3"/>
  <c r="F219" i="3"/>
  <c r="F218" i="3"/>
  <c r="F217" i="3"/>
  <c r="F216" i="3"/>
  <c r="F215" i="3"/>
  <c r="F214" i="3"/>
  <c r="F213" i="3"/>
  <c r="F212" i="3"/>
  <c r="F211" i="3"/>
  <c r="F209" i="3"/>
  <c r="F208" i="3"/>
  <c r="F436" i="3"/>
  <c r="F435" i="3"/>
  <c r="F434" i="3"/>
  <c r="F432" i="3"/>
  <c r="F431" i="3"/>
  <c r="F403" i="3" l="1"/>
  <c r="F402" i="3"/>
  <c r="F401" i="3"/>
  <c r="F266" i="3" l="1"/>
  <c r="F263" i="3"/>
  <c r="F262" i="3"/>
  <c r="F260" i="3"/>
  <c r="F259" i="3"/>
  <c r="F257" i="3"/>
  <c r="F253" i="3"/>
  <c r="F204" i="3" l="1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76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0" i="3"/>
  <c r="F139" i="3"/>
  <c r="F138" i="3"/>
  <c r="F133" i="3"/>
  <c r="F132" i="3"/>
  <c r="F131" i="3"/>
  <c r="F129" i="3"/>
  <c r="F128" i="3"/>
  <c r="F123" i="3"/>
  <c r="F321" i="3" l="1"/>
  <c r="F322" i="3"/>
  <c r="D95" i="3"/>
  <c r="E95" i="3"/>
  <c r="E430" i="3"/>
  <c r="D430" i="3"/>
  <c r="C430" i="3"/>
  <c r="E455" i="3"/>
  <c r="D455" i="3"/>
  <c r="C455" i="3"/>
  <c r="E444" i="3"/>
  <c r="C437" i="3"/>
  <c r="C421" i="3"/>
  <c r="C367" i="3"/>
  <c r="C207" i="3"/>
  <c r="C177" i="3"/>
  <c r="F5" i="3"/>
  <c r="F4" i="3"/>
  <c r="D3" i="3"/>
  <c r="E3" i="3"/>
  <c r="E11" i="3"/>
  <c r="D11" i="3"/>
  <c r="E177" i="3"/>
  <c r="C124" i="3"/>
  <c r="D99" i="3"/>
  <c r="F9" i="3"/>
  <c r="F10" i="3"/>
  <c r="E115" i="3"/>
  <c r="D115" i="3"/>
  <c r="D371" i="3"/>
  <c r="E371" i="3"/>
  <c r="C371" i="3"/>
  <c r="D127" i="3"/>
  <c r="E127" i="3"/>
  <c r="C127" i="3"/>
  <c r="D124" i="3"/>
  <c r="E124" i="3"/>
  <c r="D444" i="3"/>
  <c r="D437" i="3"/>
  <c r="E437" i="3"/>
  <c r="D433" i="3"/>
  <c r="E433" i="3"/>
  <c r="C433" i="3"/>
  <c r="D421" i="3"/>
  <c r="E421" i="3"/>
  <c r="D412" i="3"/>
  <c r="E412" i="3"/>
  <c r="D406" i="3"/>
  <c r="E406" i="3"/>
  <c r="C406" i="3"/>
  <c r="D404" i="3"/>
  <c r="E404" i="3"/>
  <c r="C404" i="3"/>
  <c r="D400" i="3"/>
  <c r="E400" i="3"/>
  <c r="C400" i="3"/>
  <c r="D387" i="3"/>
  <c r="E387" i="3"/>
  <c r="D375" i="3"/>
  <c r="E375" i="3"/>
  <c r="D369" i="3"/>
  <c r="E369" i="3"/>
  <c r="C369" i="3"/>
  <c r="D367" i="3"/>
  <c r="E367" i="3"/>
  <c r="D330" i="3"/>
  <c r="E330" i="3"/>
  <c r="D319" i="3"/>
  <c r="E319" i="3"/>
  <c r="C319" i="3"/>
  <c r="D291" i="3"/>
  <c r="E291" i="3"/>
  <c r="D278" i="3"/>
  <c r="E278" i="3"/>
  <c r="D268" i="3"/>
  <c r="E268" i="3"/>
  <c r="D254" i="3"/>
  <c r="E254" i="3"/>
  <c r="D252" i="3"/>
  <c r="E252" i="3"/>
  <c r="C252" i="3"/>
  <c r="D243" i="3"/>
  <c r="E243" i="3"/>
  <c r="C243" i="3"/>
  <c r="D207" i="3"/>
  <c r="E207" i="3"/>
  <c r="D205" i="3"/>
  <c r="E205" i="3"/>
  <c r="C205" i="3"/>
  <c r="D203" i="3"/>
  <c r="E203" i="3"/>
  <c r="C203" i="3"/>
  <c r="D189" i="3"/>
  <c r="E189" i="3"/>
  <c r="C189" i="3"/>
  <c r="D181" i="3"/>
  <c r="E181" i="3"/>
  <c r="D179" i="3"/>
  <c r="E179" i="3"/>
  <c r="C179" i="3"/>
  <c r="D177" i="3"/>
  <c r="D175" i="3"/>
  <c r="E175" i="3"/>
  <c r="C175" i="3"/>
  <c r="D171" i="3"/>
  <c r="E171" i="3"/>
  <c r="C171" i="3"/>
  <c r="D137" i="3"/>
  <c r="E137" i="3"/>
  <c r="C137" i="3"/>
  <c r="D134" i="3"/>
  <c r="E134" i="3"/>
  <c r="C134" i="3"/>
  <c r="D130" i="3"/>
  <c r="E130" i="3"/>
  <c r="C130" i="3"/>
  <c r="D122" i="3"/>
  <c r="E122" i="3"/>
  <c r="C122" i="3"/>
  <c r="D118" i="3"/>
  <c r="E118" i="3"/>
  <c r="C118" i="3"/>
  <c r="E99" i="3"/>
  <c r="F6" i="3"/>
  <c r="F7" i="3"/>
  <c r="F8" i="3"/>
  <c r="F320" i="3"/>
  <c r="F323" i="3"/>
  <c r="F324" i="3"/>
  <c r="F325" i="3"/>
  <c r="F326" i="3"/>
  <c r="F327" i="3"/>
  <c r="F328" i="3"/>
  <c r="F329" i="3"/>
  <c r="F405" i="3"/>
  <c r="F407" i="3"/>
  <c r="F408" i="3"/>
  <c r="F409" i="3"/>
  <c r="F410" i="3"/>
  <c r="F411" i="3"/>
  <c r="F430" i="3" l="1"/>
  <c r="F127" i="3"/>
  <c r="F400" i="3"/>
  <c r="F177" i="3"/>
  <c r="F367" i="3"/>
  <c r="F203" i="3"/>
  <c r="F243" i="3"/>
  <c r="F118" i="3"/>
  <c r="F137" i="3"/>
  <c r="F371" i="3"/>
  <c r="F252" i="3"/>
  <c r="F421" i="3"/>
  <c r="F134" i="3"/>
  <c r="F189" i="3"/>
  <c r="F205" i="3"/>
  <c r="C115" i="3"/>
  <c r="F115" i="3" s="1"/>
  <c r="C95" i="3"/>
  <c r="F95" i="3" s="1"/>
  <c r="C268" i="3"/>
  <c r="F268" i="3" s="1"/>
  <c r="F130" i="3"/>
  <c r="F171" i="3"/>
  <c r="F319" i="3"/>
  <c r="F404" i="3"/>
  <c r="F406" i="3"/>
  <c r="F433" i="3"/>
  <c r="D459" i="3"/>
  <c r="C3" i="3"/>
  <c r="F3" i="3" s="1"/>
  <c r="C11" i="3"/>
  <c r="F11" i="3" s="1"/>
  <c r="C99" i="3"/>
  <c r="F99" i="3" s="1"/>
  <c r="C181" i="3"/>
  <c r="F181" i="3" s="1"/>
  <c r="C412" i="3"/>
  <c r="F412" i="3" s="1"/>
  <c r="F207" i="3"/>
  <c r="F175" i="3"/>
  <c r="F179" i="3"/>
  <c r="E459" i="3"/>
  <c r="F122" i="3"/>
  <c r="C291" i="3"/>
  <c r="F291" i="3" s="1"/>
  <c r="F369" i="3"/>
  <c r="F124" i="3"/>
  <c r="C330" i="3"/>
  <c r="F330" i="3" s="1"/>
  <c r="C375" i="3"/>
  <c r="F375" i="3" s="1"/>
  <c r="F437" i="3"/>
  <c r="F455" i="3"/>
  <c r="C387" i="3"/>
  <c r="F387" i="3" s="1"/>
  <c r="C254" i="3"/>
  <c r="F254" i="3" s="1"/>
  <c r="C278" i="3"/>
  <c r="F278" i="3" s="1"/>
  <c r="C444" i="3"/>
  <c r="F444" i="3" s="1"/>
  <c r="C459" i="3" l="1"/>
  <c r="F459" i="3" s="1"/>
</calcChain>
</file>

<file path=xl/sharedStrings.xml><?xml version="1.0" encoding="utf-8"?>
<sst xmlns="http://schemas.openxmlformats.org/spreadsheetml/2006/main" count="922" uniqueCount="508">
  <si>
    <t>District</t>
  </si>
  <si>
    <t>School</t>
  </si>
  <si>
    <t>Free</t>
  </si>
  <si>
    <t>Reduced</t>
  </si>
  <si>
    <t>Enrolled</t>
  </si>
  <si>
    <t>% F&amp; R</t>
  </si>
  <si>
    <t>Grand Total</t>
  </si>
  <si>
    <t>Alaska Gateway School District</t>
  </si>
  <si>
    <t>Anchorage School District</t>
  </si>
  <si>
    <t>Alpenglow Elementary</t>
  </si>
  <si>
    <t>Aurora Elementary</t>
  </si>
  <si>
    <t>Bayshore Elementary</t>
  </si>
  <si>
    <t>Bear Valley Elementary</t>
  </si>
  <si>
    <t>Bowman Elementary</t>
  </si>
  <si>
    <t>Campbell Elementary</t>
  </si>
  <si>
    <t>Chugach Optional Elementary</t>
  </si>
  <si>
    <t>Chugiak Elementary</t>
  </si>
  <si>
    <t>Chugiak High School</t>
  </si>
  <si>
    <t>Denali Elementary</t>
  </si>
  <si>
    <t>Dimond High School</t>
  </si>
  <si>
    <t>Eagle River High School</t>
  </si>
  <si>
    <t>Fire Lake Elementary</t>
  </si>
  <si>
    <t>Girdwood School</t>
  </si>
  <si>
    <t>Goldenview Middle School</t>
  </si>
  <si>
    <t>Hanshew Middle School</t>
  </si>
  <si>
    <t>Homestead Elementary</t>
  </si>
  <si>
    <t>Huffman Elementary</t>
  </si>
  <si>
    <t>Inlet View Elementary</t>
  </si>
  <si>
    <t>Kasuun Elementary</t>
  </si>
  <si>
    <t>Kincaid Elementary</t>
  </si>
  <si>
    <t>Lake Hood Elementary</t>
  </si>
  <si>
    <t>Mears Middle School</t>
  </si>
  <si>
    <t>Mirror Lake Middle School</t>
  </si>
  <si>
    <t>North Star Elementary</t>
  </si>
  <si>
    <t>Northern Lights ABC K-8 School</t>
  </si>
  <si>
    <t>Ocean View Elementary</t>
  </si>
  <si>
    <t>O'Malley Elementary</t>
  </si>
  <si>
    <t>Orion Elementary School</t>
  </si>
  <si>
    <t>Polaris k-12 School</t>
  </si>
  <si>
    <t>Rabbit Creek Elementary</t>
  </si>
  <si>
    <t>Ravenwood Elementary</t>
  </si>
  <si>
    <t>Rogers Park Elementary</t>
  </si>
  <si>
    <t>Romig Middle School</t>
  </si>
  <si>
    <t>Sand Lake Elementary</t>
  </si>
  <si>
    <t>Service High School</t>
  </si>
  <si>
    <t>South Anchorage High School</t>
  </si>
  <si>
    <t>Trailside Elementary</t>
  </si>
  <si>
    <t>Turnagain Elementary</t>
  </si>
  <si>
    <t>Ursa Major Elementary</t>
  </si>
  <si>
    <t>Ursa Minor Elementary</t>
  </si>
  <si>
    <t>West High School</t>
  </si>
  <si>
    <t>Annette Island School District</t>
  </si>
  <si>
    <t>Bering Strait School District</t>
  </si>
  <si>
    <t>Bristol Bay Borough School District</t>
  </si>
  <si>
    <t>Chatham School District</t>
  </si>
  <si>
    <t>Copper River School District</t>
  </si>
  <si>
    <t>Glennallen School</t>
  </si>
  <si>
    <t>Cordova City School District</t>
  </si>
  <si>
    <t>Craig City School District</t>
  </si>
  <si>
    <t>Craig Elementary &amp; Middle School</t>
  </si>
  <si>
    <t>Craig High School</t>
  </si>
  <si>
    <t>Delta-Greely School District</t>
  </si>
  <si>
    <t>Delta Junction Elementary</t>
  </si>
  <si>
    <t>Dillingham City School District</t>
  </si>
  <si>
    <t>Fairbanks North Star Borough School District</t>
  </si>
  <si>
    <t>Anderson Elementary</t>
  </si>
  <si>
    <t>Anne Wien Elementary</t>
  </si>
  <si>
    <t>Arctic Light Elementary</t>
  </si>
  <si>
    <t>Barnette Magnet School</t>
  </si>
  <si>
    <t>Ben Eielson Jr/Sr High School</t>
  </si>
  <si>
    <t>BRIDGE Program</t>
  </si>
  <si>
    <t>Crawford Elementary</t>
  </si>
  <si>
    <t>District Wide Pass</t>
  </si>
  <si>
    <t>Effie Kokrine Charter School</t>
  </si>
  <si>
    <t>Hunter Elementary</t>
  </si>
  <si>
    <t>Hutchinson Career Center</t>
  </si>
  <si>
    <t>Joy Elementary</t>
  </si>
  <si>
    <t>Ladd Elementary</t>
  </si>
  <si>
    <t>Lathrop High School</t>
  </si>
  <si>
    <t>Nordale Elementary</t>
  </si>
  <si>
    <t>North Pole Elementary</t>
  </si>
  <si>
    <t>North Pole High School</t>
  </si>
  <si>
    <t>North Pole Middle School</t>
  </si>
  <si>
    <t>Pearl Creek Elementary</t>
  </si>
  <si>
    <t>Randy Smith Middle School</t>
  </si>
  <si>
    <t>Ryan Middle School</t>
  </si>
  <si>
    <t>Salcha Elementary</t>
  </si>
  <si>
    <t>Star of the North Secondary School</t>
  </si>
  <si>
    <t>Tanana Middle School</t>
  </si>
  <si>
    <t>Ticasuk Brown Elementary</t>
  </si>
  <si>
    <t>Two Rivers School</t>
  </si>
  <si>
    <t>University Park Elementary</t>
  </si>
  <si>
    <t>Weller Elementary</t>
  </si>
  <si>
    <t>West Valley High School</t>
  </si>
  <si>
    <t>Woodriver Elementary</t>
  </si>
  <si>
    <t>Galena City School District</t>
  </si>
  <si>
    <t>Haines Borough School District</t>
  </si>
  <si>
    <t>Haines Borough Schools</t>
  </si>
  <si>
    <t>Hoonah City School District</t>
  </si>
  <si>
    <t>Hydaburg City School District</t>
  </si>
  <si>
    <t>Iditarod Area School District</t>
  </si>
  <si>
    <t>Juneau Borough School District</t>
  </si>
  <si>
    <t>Auke Bay Elementary</t>
  </si>
  <si>
    <t>Dzantik'i Heeni Middle School</t>
  </si>
  <si>
    <t>Floyd Dryden Middle School</t>
  </si>
  <si>
    <t>Harborview Elementary</t>
  </si>
  <si>
    <t>Juneau Community Charter School</t>
  </si>
  <si>
    <t>Mendenhall River Community School</t>
  </si>
  <si>
    <t>Riverbend Elementary</t>
  </si>
  <si>
    <t>Thunder Mountain High School</t>
  </si>
  <si>
    <t>Kake City School District</t>
  </si>
  <si>
    <t>Kashunamiut School District</t>
  </si>
  <si>
    <t>Kenai Peninsula Borough School District</t>
  </si>
  <si>
    <t>Chapman School</t>
  </si>
  <si>
    <t>Fireweed Acadamy</t>
  </si>
  <si>
    <t>Homer High School</t>
  </si>
  <si>
    <t>Homer Middle School</t>
  </si>
  <si>
    <t>Kaleidoscope School of Arts &amp; Sciences</t>
  </si>
  <si>
    <t>Kalifornsky Beach Elementary</t>
  </si>
  <si>
    <t>Kenai Alternative High School</t>
  </si>
  <si>
    <t>Kenai Central High School</t>
  </si>
  <si>
    <t>Kenai Middle School</t>
  </si>
  <si>
    <t>McNeil Canyon Elementary</t>
  </si>
  <si>
    <t>Moose Pass School</t>
  </si>
  <si>
    <t>Mt. View Elementary</t>
  </si>
  <si>
    <t>Nikiski Middle/Senior High School</t>
  </si>
  <si>
    <t>Nikiski North Star Elementary</t>
  </si>
  <si>
    <t>Ninilchik School</t>
  </si>
  <si>
    <t>Paul Banks Elementary</t>
  </si>
  <si>
    <t>Redoubt Elementary</t>
  </si>
  <si>
    <t>Seward Elementary</t>
  </si>
  <si>
    <t>Seward High School</t>
  </si>
  <si>
    <t>Seward Middle School</t>
  </si>
  <si>
    <t>Soldotna Elementary</t>
  </si>
  <si>
    <t>Soldotna High School</t>
  </si>
  <si>
    <t>Sterling Elementary</t>
  </si>
  <si>
    <t>Susan B English School</t>
  </si>
  <si>
    <t>Tustumena Elementary</t>
  </si>
  <si>
    <t>West Homer Elementary</t>
  </si>
  <si>
    <t>Ketchikan Gateway Borough School District</t>
  </si>
  <si>
    <t>Houghtaling Elementary</t>
  </si>
  <si>
    <t>Ketchikan High School</t>
  </si>
  <si>
    <t>Schoenbar Middle School</t>
  </si>
  <si>
    <t>Tongass School of Arts and Sciences</t>
  </si>
  <si>
    <t>White Cliff Elementary/Fawn Mountain</t>
  </si>
  <si>
    <t>Klawock City School District</t>
  </si>
  <si>
    <t>Klawock City School</t>
  </si>
  <si>
    <t>Kodiak Island Borough School District</t>
  </si>
  <si>
    <t>East Elementary</t>
  </si>
  <si>
    <t>Kodiak High School</t>
  </si>
  <si>
    <t>Kodiak Middle School</t>
  </si>
  <si>
    <t>Main Elementary</t>
  </si>
  <si>
    <t>Peterson Elementary</t>
  </si>
  <si>
    <t>Kuspuk School District</t>
  </si>
  <si>
    <t>Lake and Peninsula Borough School District</t>
  </si>
  <si>
    <t>Lower Kuskokwim School District</t>
  </si>
  <si>
    <t>Lower Yukon School District</t>
  </si>
  <si>
    <t>Matanuska-Susitna Borough School District</t>
  </si>
  <si>
    <t>Butte Elementary</t>
  </si>
  <si>
    <t>Colony High School</t>
  </si>
  <si>
    <t>Colony Middle School</t>
  </si>
  <si>
    <t>Cottonwood Creek Elementary</t>
  </si>
  <si>
    <t>Finger Lake Elementary</t>
  </si>
  <si>
    <t>Fred and Sara Machetanz Elementary School</t>
  </si>
  <si>
    <t>Glacier View School</t>
  </si>
  <si>
    <t>Goose Bay Elementary</t>
  </si>
  <si>
    <t>John Shaw Elementary</t>
  </si>
  <si>
    <t>Knik Elementary School</t>
  </si>
  <si>
    <t>Larson Elementary</t>
  </si>
  <si>
    <t>Mat-Su Career &amp; Tech Ed High School</t>
  </si>
  <si>
    <t>Palmer High School</t>
  </si>
  <si>
    <t>Palmer Middle School</t>
  </si>
  <si>
    <t>Pioneer Peak Elementary</t>
  </si>
  <si>
    <t>Sherrod Elementary</t>
  </si>
  <si>
    <t>Snowshoe Elementary</t>
  </si>
  <si>
    <t>Susitna Valley Jr/Sr High</t>
  </si>
  <si>
    <t>Swanson Elementary</t>
  </si>
  <si>
    <t>Talkeetna Elementary</t>
  </si>
  <si>
    <t>TeeLand Middle School</t>
  </si>
  <si>
    <t>Wasilla High School</t>
  </si>
  <si>
    <t>Wasilla Middle School</t>
  </si>
  <si>
    <t>Mount Edgecumbe</t>
  </si>
  <si>
    <t>Nenana City School District</t>
  </si>
  <si>
    <t>Nome Public Schools</t>
  </si>
  <si>
    <t>North Slope Borough School District</t>
  </si>
  <si>
    <t>Northwest Arctic Borough School District</t>
  </si>
  <si>
    <t>Petersburg Borough School District</t>
  </si>
  <si>
    <t>Mitkof Middle School</t>
  </si>
  <si>
    <t>Rae C. Stedman Elementary</t>
  </si>
  <si>
    <t>Saint Mary's School District</t>
  </si>
  <si>
    <t>Sitka School District</t>
  </si>
  <si>
    <t>Baranof Elementary</t>
  </si>
  <si>
    <t>Blatchley Middle School</t>
  </si>
  <si>
    <t>Keet Gooshi Heen Elementary</t>
  </si>
  <si>
    <t>Pacific High School</t>
  </si>
  <si>
    <t>Sitka High School</t>
  </si>
  <si>
    <t>Southeast Island School District</t>
  </si>
  <si>
    <t>Port Alexander School</t>
  </si>
  <si>
    <t>Thorne Bay School</t>
  </si>
  <si>
    <t>Southwest Region School District</t>
  </si>
  <si>
    <t>Clarks Point School</t>
  </si>
  <si>
    <t>Unalaska City School District</t>
  </si>
  <si>
    <t>Eagle's View Elementary School</t>
  </si>
  <si>
    <t>Unalaska Jr/Sr High School</t>
  </si>
  <si>
    <t>Valdez City School District</t>
  </si>
  <si>
    <t>Hermon Hutchens Elementary</t>
  </si>
  <si>
    <t>Valdez High School</t>
  </si>
  <si>
    <t>Yukon Flats School District</t>
  </si>
  <si>
    <t>Yukon-Koyukuk School District</t>
  </si>
  <si>
    <t>Yupiit School District</t>
  </si>
  <si>
    <t>River City Academy</t>
  </si>
  <si>
    <t>Skyview Middle School</t>
  </si>
  <si>
    <t>Soldotna Montessori School</t>
  </si>
  <si>
    <t>George H. Gilson Jr. High School</t>
  </si>
  <si>
    <t>Hyder</t>
  </si>
  <si>
    <t>Montessori Public Alernative School</t>
  </si>
  <si>
    <t>Ketchikan Charter School</t>
  </si>
  <si>
    <t xml:space="preserve">Dot Lake School-CEP                                </t>
  </si>
  <si>
    <t xml:space="preserve">Eagle Community School-CEP               </t>
  </si>
  <si>
    <t xml:space="preserve">Mentasta Lake School-CEP                        </t>
  </si>
  <si>
    <t xml:space="preserve">Tanacross School-CEP                              </t>
  </si>
  <si>
    <t xml:space="preserve">Tetlin School-CEP                                       </t>
  </si>
  <si>
    <t xml:space="preserve">Tok School-CEP                                         </t>
  </si>
  <si>
    <t xml:space="preserve">Walter Northway School-CEP                    </t>
  </si>
  <si>
    <t xml:space="preserve">Airport Heights Elementary-CEP                      </t>
  </si>
  <si>
    <t xml:space="preserve">Alaska Native Cultural Charter School-CEP     </t>
  </si>
  <si>
    <t xml:space="preserve">Bartlett High School-CEP                                 </t>
  </si>
  <si>
    <t xml:space="preserve">Baxter Elementary-CEP                                   </t>
  </si>
  <si>
    <t xml:space="preserve">Chester Valley Elementary-CEP                       </t>
  </si>
  <si>
    <t xml:space="preserve">Chinook Elementary-CEP                                </t>
  </si>
  <si>
    <t xml:space="preserve">Clark Middle School-CEP   </t>
  </si>
  <si>
    <t xml:space="preserve">Creekside Park Elementary-CEP  </t>
  </si>
  <si>
    <t xml:space="preserve">East High School-CEP  </t>
  </si>
  <si>
    <t xml:space="preserve">Fairview Elementary-CEP  </t>
  </si>
  <si>
    <t xml:space="preserve">Klatt Elementary-CEP  </t>
  </si>
  <si>
    <t xml:space="preserve">Lake Otis Elementary-CEP  </t>
  </si>
  <si>
    <t xml:space="preserve">Mountain View Elementary-CEP  </t>
  </si>
  <si>
    <t xml:space="preserve">Nicholas J. Begich Middle School-CEP  </t>
  </si>
  <si>
    <t xml:space="preserve">North Star Elementary-CEP  </t>
  </si>
  <si>
    <t xml:space="preserve">Muldoon Elementary-CEP  </t>
  </si>
  <si>
    <t xml:space="preserve">Northwood ABC-CEP  </t>
  </si>
  <si>
    <t xml:space="preserve">Nunaka Valley Elementary-CEP  </t>
  </si>
  <si>
    <t xml:space="preserve">Ptarmigan Elementary-CEP  </t>
  </si>
  <si>
    <t xml:space="preserve">Russian Jack Elementary-CEP  </t>
  </si>
  <si>
    <t xml:space="preserve">Taku Elementary-CEP  </t>
  </si>
  <si>
    <t xml:space="preserve">Wendler Middle School-CEP  </t>
  </si>
  <si>
    <t xml:space="preserve">Whaley School-CEP  </t>
  </si>
  <si>
    <t xml:space="preserve">William Tyson Elementary-CEP  </t>
  </si>
  <si>
    <t xml:space="preserve">Williwaw Elementary-CEP  </t>
  </si>
  <si>
    <t xml:space="preserve">Willow Crest Elementary-CEP  </t>
  </si>
  <si>
    <t xml:space="preserve">Wonder Park Elementary-CEP  </t>
  </si>
  <si>
    <t xml:space="preserve">Charles R. Leask Sr. Middle School-CEP  </t>
  </si>
  <si>
    <t xml:space="preserve">Metlakatla High School-CEP  </t>
  </si>
  <si>
    <t xml:space="preserve">Richard Johnson Elementary-CEP  </t>
  </si>
  <si>
    <t xml:space="preserve">Dillingham Elementary-CEP  </t>
  </si>
  <si>
    <t xml:space="preserve">Dillingham Middle/High School-CEP  </t>
  </si>
  <si>
    <t xml:space="preserve">Hydaburg School-CEP  </t>
  </si>
  <si>
    <t xml:space="preserve">Chevak School-CEP  </t>
  </si>
  <si>
    <t xml:space="preserve">Aniak Jr/Sr High School-CEP  </t>
  </si>
  <si>
    <t xml:space="preserve">Auntie Mary Nicoli Elementary-CEP  </t>
  </si>
  <si>
    <t xml:space="preserve">Crow Village Sam School-CEP  </t>
  </si>
  <si>
    <t xml:space="preserve">George Morgan Sr. H.S.-CEP  </t>
  </si>
  <si>
    <t xml:space="preserve">Gusty Michael School-CEP  </t>
  </si>
  <si>
    <t xml:space="preserve">Jack Egnaty Sr. School-CEP  </t>
  </si>
  <si>
    <t xml:space="preserve">Johnnie John Sr. School-CEP  </t>
  </si>
  <si>
    <t xml:space="preserve">Joseph S. &amp; Olinga Gregory Elementary-CEP  </t>
  </si>
  <si>
    <t xml:space="preserve">Zackar Levi Elementary-CEP  </t>
  </si>
  <si>
    <t xml:space="preserve">Akiuk Memorial School-CEP  </t>
  </si>
  <si>
    <t xml:space="preserve">Akula Elitnaurvik School-CEP  </t>
  </si>
  <si>
    <t xml:space="preserve">Anna Tobeluk Memorial School-CEP  </t>
  </si>
  <si>
    <t xml:space="preserve">Ayaprun Elitnaurvik-CEP  </t>
  </si>
  <si>
    <t xml:space="preserve">Ayaprun School-CEP  </t>
  </si>
  <si>
    <t xml:space="preserve">Bethel Regional High School-CEP  </t>
  </si>
  <si>
    <t xml:space="preserve">Chaputnguak School-CEP  </t>
  </si>
  <si>
    <t xml:space="preserve">Chief Paul Memorial School-CEP  </t>
  </si>
  <si>
    <t xml:space="preserve">Dick R. Kiunya Memorial Ayagina'ar Elitnaurvik-CEP  </t>
  </si>
  <si>
    <t xml:space="preserve">Eek School-CEP  </t>
  </si>
  <si>
    <t xml:space="preserve">Gladys Jung Elementary-CEP  </t>
  </si>
  <si>
    <t xml:space="preserve">Joann A. Alexie Memorial School-CEP  </t>
  </si>
  <si>
    <t xml:space="preserve">Ket'acik/Aapalluk Memorial School-CEP  </t>
  </si>
  <si>
    <t xml:space="preserve">Kuinerrarmiut Elitnaurviat-CEP  </t>
  </si>
  <si>
    <t xml:space="preserve">Kwigillingok School-CEP  </t>
  </si>
  <si>
    <t xml:space="preserve">Lewis Angapak Memorial School-CEP  </t>
  </si>
  <si>
    <t xml:space="preserve">Mikelnguut Elitnaurviat-CEP  </t>
  </si>
  <si>
    <t xml:space="preserve">Negtemiut Elitnaurviat School-CEP  </t>
  </si>
  <si>
    <t xml:space="preserve">Nelson Island Area School-CEP  </t>
  </si>
  <si>
    <t xml:space="preserve">Nuniwarmiut School-CEP  </t>
  </si>
  <si>
    <t xml:space="preserve">Paul T. Albert Memorial School-CEP  </t>
  </si>
  <si>
    <t xml:space="preserve">Platinum School-CEP  </t>
  </si>
  <si>
    <t xml:space="preserve">Qugcuun Memorial School-CEP  </t>
  </si>
  <si>
    <t xml:space="preserve">Rocky Mountain School-CEP  </t>
  </si>
  <si>
    <t xml:space="preserve">William Miller Memorial School-CEP  </t>
  </si>
  <si>
    <t xml:space="preserve">Z. John Williams Memorial School-CEP  </t>
  </si>
  <si>
    <t xml:space="preserve">Mt. Edgecumbe High School-CEP  </t>
  </si>
  <si>
    <t xml:space="preserve">Nome Elementary-CEP  </t>
  </si>
  <si>
    <t xml:space="preserve">Nome-Beltz Jr/Sr High-CEP  </t>
  </si>
  <si>
    <t xml:space="preserve">Nunamiut School-CEP  </t>
  </si>
  <si>
    <t xml:space="preserve">Tikigaq School-CEP  </t>
  </si>
  <si>
    <t xml:space="preserve">Ambler School-CEP  </t>
  </si>
  <si>
    <t xml:space="preserve">Aqqaluk High/Noorvik Elementary-CEP  </t>
  </si>
  <si>
    <t xml:space="preserve">Buckland School-CEP  </t>
  </si>
  <si>
    <t xml:space="preserve">Davis-Ramoth School-CEP  </t>
  </si>
  <si>
    <t xml:space="preserve">Deering School-CEP  </t>
  </si>
  <si>
    <t xml:space="preserve">June Nelson Elementary-CEP  </t>
  </si>
  <si>
    <t xml:space="preserve">Kiana School-CEP  </t>
  </si>
  <si>
    <t xml:space="preserve">Kobuk School-CEP  </t>
  </si>
  <si>
    <t xml:space="preserve">McQueen School-CEP  </t>
  </si>
  <si>
    <t xml:space="preserve">Napaaqtugmiut School-CEP  </t>
  </si>
  <si>
    <t xml:space="preserve">Shungnak School-CEP  </t>
  </si>
  <si>
    <t xml:space="preserve">Elicarviscuar Elementary School-CEP  </t>
  </si>
  <si>
    <t xml:space="preserve">Aleknagik School-CEP  </t>
  </si>
  <si>
    <t xml:space="preserve">Chief Ivan Blunka School-CEP  </t>
  </si>
  <si>
    <t xml:space="preserve">Koliganek School-CEP  </t>
  </si>
  <si>
    <t xml:space="preserve">Manokotak School-CEP  </t>
  </si>
  <si>
    <t xml:space="preserve">Togiak School-CEP  </t>
  </si>
  <si>
    <t xml:space="preserve">Twin Hills School-CEP  </t>
  </si>
  <si>
    <t xml:space="preserve">William "Sonny" Nelson School-CEP  </t>
  </si>
  <si>
    <t xml:space="preserve">Arctic Village School-CEP  </t>
  </si>
  <si>
    <t xml:space="preserve">Circle School-CEP  </t>
  </si>
  <si>
    <t xml:space="preserve">Cruikshank School-CEP  </t>
  </si>
  <si>
    <t xml:space="preserve">Fort Yukon School-CEP  </t>
  </si>
  <si>
    <t xml:space="preserve">John Fredson School-CEP  </t>
  </si>
  <si>
    <t xml:space="preserve">Tsuk Taih School-CEP  </t>
  </si>
  <si>
    <t xml:space="preserve">Allakaket School-CEP  </t>
  </si>
  <si>
    <t xml:space="preserve">Andrew K. Demoski School-CEP  </t>
  </si>
  <si>
    <t xml:space="preserve">Kaltag School-CEP  </t>
  </si>
  <si>
    <t xml:space="preserve">Merreline A Kangas School-CEP  </t>
  </si>
  <si>
    <t xml:space="preserve">Minto School-CEP  </t>
  </si>
  <si>
    <t xml:space="preserve">Akiachak School-CEP  </t>
  </si>
  <si>
    <t xml:space="preserve">Akiak School-CEP  </t>
  </si>
  <si>
    <t xml:space="preserve">Tuluksak School-CEP  </t>
  </si>
  <si>
    <t xml:space="preserve">Kotzebue Middle/High School-CEP  </t>
  </si>
  <si>
    <t>Bristol BayMiddle/High School - CEP</t>
  </si>
  <si>
    <t>Naknek Elementary School - CEP</t>
  </si>
  <si>
    <t>Hoonah Schools - CEP</t>
  </si>
  <si>
    <t>Blackwell School - CEP</t>
  </si>
  <si>
    <t>David Louis Memorial School - CEP</t>
  </si>
  <si>
    <t>Innoko River School - CEP</t>
  </si>
  <si>
    <t>Tokatna Community School - CEP</t>
  </si>
  <si>
    <t>Top of the Kuskokwim School - CEP</t>
  </si>
  <si>
    <t>Abbott Loop Elementary - CEP</t>
  </si>
  <si>
    <t xml:space="preserve">Benson Secondary/S.E.A.R.C.H. - CEP              </t>
  </si>
  <si>
    <t>Central Middle School of Science - CEP</t>
  </si>
  <si>
    <t>College Gate Elementary - CEP</t>
  </si>
  <si>
    <t>Spring Hill Elementary - CEP</t>
  </si>
  <si>
    <t>Aniguiin School-CEP</t>
  </si>
  <si>
    <t>Anthony A. Andrews School-CEP</t>
  </si>
  <si>
    <t>Brevig Mission School-CEP</t>
  </si>
  <si>
    <t>Diomede School-CEP</t>
  </si>
  <si>
    <t>Gambell School-CEP</t>
  </si>
  <si>
    <t>Hogarth Kingeekuk Sr. Memorial School-CEP</t>
  </si>
  <si>
    <t>James C. Isabell School-CEP</t>
  </si>
  <si>
    <t>Koyuk-Malimiut School-CEP</t>
  </si>
  <si>
    <t>Martin L. Olson School-CEP</t>
  </si>
  <si>
    <t>Shaktoolik School-CEP</t>
  </si>
  <si>
    <t>Shishmaref School-CEP</t>
  </si>
  <si>
    <t>Tukurngailnguq School-CEP</t>
  </si>
  <si>
    <t>Unalakleet School-CEP</t>
  </si>
  <si>
    <t>Wales School-CEP</t>
  </si>
  <si>
    <t>White Mountain School-CEP</t>
  </si>
  <si>
    <t>Klukwan School - not on NSLP</t>
  </si>
  <si>
    <t>Hollis School - CEP</t>
  </si>
  <si>
    <t>Howard Valentine Coffman Cove School - CEP</t>
  </si>
  <si>
    <t xml:space="preserve">Kasaan - CEP  </t>
  </si>
  <si>
    <t xml:space="preserve">Naukati School - CEP  </t>
  </si>
  <si>
    <t>Whale Pass School - CEP</t>
  </si>
  <si>
    <t>Government Hill Elementary - CEP</t>
  </si>
  <si>
    <t>Avail School-CEP</t>
  </si>
  <si>
    <t>Holy Cross School - CEP</t>
  </si>
  <si>
    <t>McGrath School- CEP</t>
  </si>
  <si>
    <t>Nikolaevsk School-CEP</t>
  </si>
  <si>
    <t>Ella B. Vernetti School-CEP</t>
  </si>
  <si>
    <t>Rampart School-CEP</t>
  </si>
  <si>
    <t>Johnny Oldman School-CEP</t>
  </si>
  <si>
    <t>Tebughna School-CEP</t>
  </si>
  <si>
    <t>Nanwalek School-CEP</t>
  </si>
  <si>
    <t>Akhiok School-CEP</t>
  </si>
  <si>
    <t>Chiniak School-CEP</t>
  </si>
  <si>
    <t>Old Harbor School-CEP</t>
  </si>
  <si>
    <t>Ouzinkie School-CEP</t>
  </si>
  <si>
    <t>Port Lions School-CEP</t>
  </si>
  <si>
    <t>Chignik Bay-CEP</t>
  </si>
  <si>
    <t>Chignik Lagoon School-CEP</t>
  </si>
  <si>
    <t>Chignik Lake School-CEP</t>
  </si>
  <si>
    <t>Igiugig School-CEP</t>
  </si>
  <si>
    <t>Kokhanok School-CEP</t>
  </si>
  <si>
    <t>Levelock School-CEP</t>
  </si>
  <si>
    <t>Meshik School-CEP</t>
  </si>
  <si>
    <t>Newhalen School-CEP</t>
  </si>
  <si>
    <t>Nondalton School-CEP</t>
  </si>
  <si>
    <t>Perryville School-CEP</t>
  </si>
  <si>
    <t>Pilot Point School-CEP</t>
  </si>
  <si>
    <t>Tanalian School-CEP</t>
  </si>
  <si>
    <t>Iditarod Elementary-CEP</t>
  </si>
  <si>
    <t>Meadow Lakes Elementary-CEP</t>
  </si>
  <si>
    <t>Tanaina Elementary-CEP</t>
  </si>
  <si>
    <t>Midnight Sun Elementary</t>
  </si>
  <si>
    <t>District and School Totals</t>
  </si>
  <si>
    <t xml:space="preserve">Yupiit School District </t>
  </si>
  <si>
    <t xml:space="preserve">Yukon-Koyukuk School District </t>
  </si>
  <si>
    <t xml:space="preserve">Saint Mary's School District  </t>
  </si>
  <si>
    <t xml:space="preserve">Sitka School District  </t>
  </si>
  <si>
    <t xml:space="preserve">Southeast Island School District  </t>
  </si>
  <si>
    <t xml:space="preserve">Southwest Region School District  </t>
  </si>
  <si>
    <t xml:space="preserve">Unalaska City School District  </t>
  </si>
  <si>
    <t xml:space="preserve">Valdez City School District  </t>
  </si>
  <si>
    <t xml:space="preserve">Yukon Flats School District  </t>
  </si>
  <si>
    <t xml:space="preserve">Anchorage School District  </t>
  </si>
  <si>
    <t xml:space="preserve">Annette Island School District  </t>
  </si>
  <si>
    <t xml:space="preserve">Bering Strait School District  </t>
  </si>
  <si>
    <t xml:space="preserve">Bristol Bay Borough School District  </t>
  </si>
  <si>
    <t xml:space="preserve">Chatham School District  </t>
  </si>
  <si>
    <t xml:space="preserve">Copper River School District  </t>
  </si>
  <si>
    <t xml:space="preserve">Cordova City School District  </t>
  </si>
  <si>
    <t xml:space="preserve">Craig City School District  </t>
  </si>
  <si>
    <t xml:space="preserve">Delta-Greely School District  </t>
  </si>
  <si>
    <t xml:space="preserve">Dillingham City School District  </t>
  </si>
  <si>
    <t xml:space="preserve">Fairbanks North Star Borough School District  </t>
  </si>
  <si>
    <t xml:space="preserve">Galena City School District  </t>
  </si>
  <si>
    <t xml:space="preserve">Haines Borough School District  </t>
  </si>
  <si>
    <t xml:space="preserve">Hoonah City School District  </t>
  </si>
  <si>
    <t xml:space="preserve">Hydaburg City School District  </t>
  </si>
  <si>
    <t xml:space="preserve">Iditarod Area School District  </t>
  </si>
  <si>
    <t xml:space="preserve">Kashunamiut School District  </t>
  </si>
  <si>
    <t xml:space="preserve">Kenai Peninsula Borough School District  </t>
  </si>
  <si>
    <t xml:space="preserve">Ketchikan Gateway Borough School District  </t>
  </si>
  <si>
    <t xml:space="preserve">Klawock City School District  </t>
  </si>
  <si>
    <t xml:space="preserve">Kodiak Island Borough School District  </t>
  </si>
  <si>
    <t xml:space="preserve">Kuspuk School District  </t>
  </si>
  <si>
    <t xml:space="preserve">Lake and Peninsula Borough School District  </t>
  </si>
  <si>
    <t xml:space="preserve">Juneau Borough School District  </t>
  </si>
  <si>
    <t xml:space="preserve">Kake City School District  </t>
  </si>
  <si>
    <t xml:space="preserve">Lower Kuskokwim School District  </t>
  </si>
  <si>
    <t xml:space="preserve">Lower Yukon School District  </t>
  </si>
  <si>
    <t xml:space="preserve">Matanuska-Susitna Borough School District  </t>
  </si>
  <si>
    <t xml:space="preserve">Mount Edgecumbe  </t>
  </si>
  <si>
    <t xml:space="preserve">Nenana City School District  </t>
  </si>
  <si>
    <t xml:space="preserve">Nome Public Schools  </t>
  </si>
  <si>
    <t xml:space="preserve">North Slope Borough School District  </t>
  </si>
  <si>
    <t xml:space="preserve">Northwest Arctic Borough School District  </t>
  </si>
  <si>
    <t xml:space="preserve">Petersburg Borough School District  </t>
  </si>
  <si>
    <t>end of table</t>
  </si>
  <si>
    <t>Alakanuk School-CEP</t>
  </si>
  <si>
    <t>Emmonak School-CEP</t>
  </si>
  <si>
    <t>Hooper Bay School-CEP</t>
  </si>
  <si>
    <t>Kotlik School-CEP</t>
  </si>
  <si>
    <t>Marshall School-CEP</t>
  </si>
  <si>
    <t>Mountain Village/Ignatius School-CEP</t>
  </si>
  <si>
    <t>Pilot Station School-CEP</t>
  </si>
  <si>
    <t>Russian Mission School-CEP</t>
  </si>
  <si>
    <t>Scammon Bay School-CEP</t>
  </si>
  <si>
    <t>Nunum Iqua/Sheldon Point School-CEP</t>
  </si>
  <si>
    <t>Delta Junction Junior High School</t>
  </si>
  <si>
    <t>Delta Junction Senior High School</t>
  </si>
  <si>
    <t>Karluk School-CEP- CLOSED 10/31/2018</t>
  </si>
  <si>
    <t>Larsen Bay School-CEP-CLOSED SY 2019</t>
  </si>
  <si>
    <t>Mat-Su Day School</t>
  </si>
  <si>
    <t>Nenana City School-CEP</t>
  </si>
  <si>
    <t>Home Flex School-CEP</t>
  </si>
  <si>
    <t>Port Graham School-CEP</t>
  </si>
  <si>
    <t>Birchwood ABC Elementary</t>
  </si>
  <si>
    <t>Susitna Elementary</t>
  </si>
  <si>
    <t xml:space="preserve">Tudor Elementary </t>
  </si>
  <si>
    <t>Cordova Jr/Sr High School - CEP</t>
  </si>
  <si>
    <t>Mt. Eccles Elementary - CEP</t>
  </si>
  <si>
    <t>Galena Interior Learning Academy (GILA) - CEP</t>
  </si>
  <si>
    <t>Sidney C. Huntington Elementary - CEP</t>
  </si>
  <si>
    <t>Sidney C. Huntington Jr/Sr High School - CEP</t>
  </si>
  <si>
    <t>Yaakoosge Daakahidi Alt. H.S. - CEP</t>
  </si>
  <si>
    <r>
      <t xml:space="preserve">Alaska Department of Education &amp; Early Development
Child Nutriton Program
National School Lunch Programs
Free and Reduced Price Meals Report
For Program Year: 2020
</t>
    </r>
    <r>
      <rPr>
        <i/>
        <sz val="14"/>
        <color theme="1"/>
        <rFont val="Calibri"/>
        <family val="2"/>
        <scheme val="minor"/>
      </rPr>
      <t>*Calculations based on CEP multiplier (ISP X 1.6) to those sites approved</t>
    </r>
  </si>
  <si>
    <t>Gladys Wood Elementary - CEP</t>
  </si>
  <si>
    <r>
      <t xml:space="preserve">Mt. Spurr Elementary - </t>
    </r>
    <r>
      <rPr>
        <b/>
        <sz val="12"/>
        <color rgb="FFFF0000"/>
        <rFont val="Calibri"/>
        <family val="2"/>
        <scheme val="minor"/>
      </rPr>
      <t>Closed</t>
    </r>
  </si>
  <si>
    <t xml:space="preserve">Scenic Park Elementary </t>
  </si>
  <si>
    <r>
      <t>Gruening Middle School -</t>
    </r>
    <r>
      <rPr>
        <b/>
        <sz val="12"/>
        <color rgb="FFFF0000"/>
        <rFont val="Calibri"/>
        <family val="2"/>
        <scheme val="minor"/>
      </rPr>
      <t>Closed</t>
    </r>
  </si>
  <si>
    <r>
      <t xml:space="preserve">Eagle River Elementary- </t>
    </r>
    <r>
      <rPr>
        <b/>
        <sz val="12"/>
        <color rgb="FFFF0000"/>
        <rFont val="Calibri"/>
        <family val="2"/>
        <scheme val="minor"/>
      </rPr>
      <t>Closed</t>
    </r>
  </si>
  <si>
    <t xml:space="preserve">Discovery Peak Charter School </t>
  </si>
  <si>
    <t>Soldotna Prep 9- Dropped</t>
  </si>
  <si>
    <t>Kuskokwim Learning Academy-CEP</t>
  </si>
  <si>
    <t>Big Lake Elementary-CEP</t>
  </si>
  <si>
    <t>Burchell High School-CEP</t>
  </si>
  <si>
    <t xml:space="preserve">Houston Jr./Sr. High School - CEP                 </t>
  </si>
  <si>
    <t>Sutton Elementary - CEP</t>
  </si>
  <si>
    <t>Trapper Creek Elementary-CEP</t>
  </si>
  <si>
    <t>Nuiqsut Trapper School-CEP</t>
  </si>
  <si>
    <r>
      <t xml:space="preserve">Gladys Dart School-CEP </t>
    </r>
    <r>
      <rPr>
        <b/>
        <sz val="12"/>
        <color rgb="FFFF0000"/>
        <rFont val="Calibri"/>
        <family val="2"/>
        <scheme val="minor"/>
      </rPr>
      <t xml:space="preserve"> Closed</t>
    </r>
  </si>
  <si>
    <t>Jimmy Huntington School-CEP</t>
  </si>
  <si>
    <t>Redington Jr./Sr. High School-CEP</t>
  </si>
  <si>
    <t>Valley Pathways-CEP</t>
  </si>
  <si>
    <t>Willow Elementary-CEP</t>
  </si>
  <si>
    <t xml:space="preserve">Point Higgins School </t>
  </si>
  <si>
    <t>Revilla Jr/Sr High School</t>
  </si>
  <si>
    <t>Yadaa.at Kalé _Juneau-Douglas High School</t>
  </si>
  <si>
    <t>Sayéik_Gastineau Elementary</t>
  </si>
  <si>
    <t>Sít' Eetí Shaanáx_Glacier Valley Elementary</t>
  </si>
  <si>
    <t>Angoon Elementary  School-CEP</t>
  </si>
  <si>
    <t>Angoon High School-CEP</t>
  </si>
  <si>
    <t>Kake Elementary &amp; High School-CEP</t>
  </si>
  <si>
    <t>Dena'ina Elementary School-CEP</t>
  </si>
  <si>
    <t>Anvil City Science Acedemy</t>
  </si>
  <si>
    <t>Petersburg High School-CEP</t>
  </si>
  <si>
    <t>Alak School</t>
  </si>
  <si>
    <t>Barrow High School</t>
  </si>
  <si>
    <t>Eben Hopson Middle School</t>
  </si>
  <si>
    <t>Fred Ipalook Elementary</t>
  </si>
  <si>
    <t>Harold Kaveolook School</t>
  </si>
  <si>
    <t>Kali School</t>
  </si>
  <si>
    <t>Kiita Learning Center (Barrow)</t>
  </si>
  <si>
    <t>Meade River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</si>
</sst>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66">
    <xf numFmtId="0" fontId="0" fillId="0" borderId="0" xfId="0"/>
    <xf numFmtId="0" fontId="3" fillId="0" borderId="0" xfId="0" applyFont="1"/>
    <xf numFmtId="9" fontId="3" fillId="0" borderId="0" xfId="2" applyFont="1"/>
    <xf numFmtId="0" fontId="4" fillId="0" borderId="3" xfId="3" applyFont="1" applyBorder="1"/>
    <xf numFmtId="0" fontId="4" fillId="0" borderId="3" xfId="3" applyFont="1" applyBorder="1" applyAlignment="1">
      <alignment wrapText="1" readingOrder="1"/>
    </xf>
    <xf numFmtId="0" fontId="4" fillId="0" borderId="3" xfId="3" applyFont="1" applyBorder="1" applyAlignment="1">
      <alignment horizontal="left" wrapText="1" readingOrder="1"/>
    </xf>
    <xf numFmtId="0" fontId="5" fillId="3" borderId="2" xfId="0" applyFont="1" applyFill="1" applyBorder="1"/>
    <xf numFmtId="3" fontId="3" fillId="3" borderId="2" xfId="1" applyNumberFormat="1" applyFont="1" applyFill="1" applyBorder="1"/>
    <xf numFmtId="0" fontId="3" fillId="0" borderId="2" xfId="0" applyFont="1" applyBorder="1"/>
    <xf numFmtId="9" fontId="3" fillId="0" borderId="0" xfId="2" applyNumberFormat="1" applyFont="1"/>
    <xf numFmtId="0" fontId="3" fillId="0" borderId="0" xfId="2" applyNumberFormat="1" applyFont="1"/>
    <xf numFmtId="10" fontId="3" fillId="0" borderId="0" xfId="2" applyNumberFormat="1" applyFont="1"/>
    <xf numFmtId="3" fontId="3" fillId="0" borderId="2" xfId="0" applyNumberFormat="1" applyFont="1" applyBorder="1"/>
    <xf numFmtId="1" fontId="3" fillId="3" borderId="2" xfId="2" applyNumberFormat="1" applyFont="1" applyFill="1" applyBorder="1"/>
    <xf numFmtId="0" fontId="3" fillId="0" borderId="0" xfId="0" applyFont="1" applyFill="1"/>
    <xf numFmtId="9" fontId="3" fillId="0" borderId="0" xfId="2" applyFont="1" applyFill="1"/>
    <xf numFmtId="0" fontId="3" fillId="0" borderId="2" xfId="0" applyFont="1" applyFill="1" applyBorder="1"/>
    <xf numFmtId="3" fontId="3" fillId="0" borderId="0" xfId="0" applyNumberFormat="1" applyFont="1"/>
    <xf numFmtId="3" fontId="3" fillId="3" borderId="2" xfId="0" applyNumberFormat="1" applyFont="1" applyFill="1" applyBorder="1"/>
    <xf numFmtId="0" fontId="3" fillId="4" borderId="2" xfId="0" applyFont="1" applyFill="1" applyBorder="1"/>
    <xf numFmtId="3" fontId="3" fillId="4" borderId="2" xfId="1" applyNumberFormat="1" applyFont="1" applyFill="1" applyBorder="1"/>
    <xf numFmtId="0" fontId="3" fillId="4" borderId="0" xfId="0" applyFont="1" applyFill="1"/>
    <xf numFmtId="9" fontId="3" fillId="4" borderId="0" xfId="2" applyFont="1" applyFill="1"/>
    <xf numFmtId="0" fontId="3" fillId="0" borderId="2" xfId="0" applyFont="1" applyBorder="1" applyAlignment="1">
      <alignment vertical="center" wrapText="1"/>
    </xf>
    <xf numFmtId="3" fontId="3" fillId="4" borderId="2" xfId="0" applyNumberFormat="1" applyFont="1" applyFill="1" applyBorder="1"/>
    <xf numFmtId="0" fontId="6" fillId="0" borderId="0" xfId="0" applyFont="1"/>
    <xf numFmtId="9" fontId="6" fillId="0" borderId="0" xfId="2" applyFont="1"/>
    <xf numFmtId="3" fontId="8" fillId="0" borderId="2" xfId="1" applyNumberFormat="1" applyFont="1" applyFill="1" applyBorder="1" applyAlignment="1">
      <alignment horizontal="right" vertical="top" wrapText="1"/>
    </xf>
    <xf numFmtId="0" fontId="8" fillId="0" borderId="2" xfId="0" applyNumberFormat="1" applyFont="1" applyFill="1" applyBorder="1" applyAlignment="1">
      <alignment horizontal="right" vertical="top" wrapText="1"/>
    </xf>
    <xf numFmtId="3" fontId="8" fillId="0" borderId="2" xfId="0" applyNumberFormat="1" applyFont="1" applyFill="1" applyBorder="1" applyAlignment="1">
      <alignment horizontal="right" vertical="top" wrapText="1"/>
    </xf>
    <xf numFmtId="0" fontId="3" fillId="0" borderId="0" xfId="0" applyFont="1" applyBorder="1"/>
    <xf numFmtId="0" fontId="3" fillId="0" borderId="4" xfId="0" applyFont="1" applyBorder="1"/>
    <xf numFmtId="3" fontId="3" fillId="0" borderId="0" xfId="0" applyNumberFormat="1" applyFont="1" applyBorder="1"/>
    <xf numFmtId="0" fontId="3" fillId="0" borderId="5" xfId="0" applyFont="1" applyBorder="1"/>
    <xf numFmtId="3" fontId="3" fillId="0" borderId="5" xfId="0" applyNumberFormat="1" applyFont="1" applyBorder="1"/>
    <xf numFmtId="0" fontId="3" fillId="0" borderId="6" xfId="0" applyFont="1" applyBorder="1"/>
    <xf numFmtId="1" fontId="8" fillId="0" borderId="2" xfId="0" applyNumberFormat="1" applyFont="1" applyFill="1" applyBorder="1" applyAlignment="1">
      <alignment horizontal="right" vertical="top" wrapText="1"/>
    </xf>
    <xf numFmtId="3" fontId="8" fillId="3" borderId="2" xfId="0" applyNumberFormat="1" applyFont="1" applyFill="1" applyBorder="1" applyAlignment="1">
      <alignment horizontal="right" vertical="top" wrapText="1"/>
    </xf>
    <xf numFmtId="0" fontId="4" fillId="0" borderId="7" xfId="3" applyFont="1" applyBorder="1"/>
    <xf numFmtId="0" fontId="5" fillId="3" borderId="6" xfId="0" applyFont="1" applyFill="1" applyBorder="1"/>
    <xf numFmtId="0" fontId="3" fillId="0" borderId="6" xfId="0" applyFont="1" applyFill="1" applyBorder="1"/>
    <xf numFmtId="0" fontId="3" fillId="4" borderId="6" xfId="0" applyFont="1" applyFill="1" applyBorder="1"/>
    <xf numFmtId="0" fontId="3" fillId="0" borderId="6" xfId="0" applyFont="1" applyBorder="1" applyAlignment="1">
      <alignment vertical="top"/>
    </xf>
    <xf numFmtId="0" fontId="3" fillId="0" borderId="8" xfId="0" applyFont="1" applyBorder="1"/>
    <xf numFmtId="10" fontId="3" fillId="5" borderId="10" xfId="2" applyNumberFormat="1" applyFont="1" applyFill="1" applyBorder="1"/>
    <xf numFmtId="10" fontId="3" fillId="3" borderId="10" xfId="2" applyNumberFormat="1" applyFont="1" applyFill="1" applyBorder="1"/>
    <xf numFmtId="0" fontId="9" fillId="0" borderId="0" xfId="0" applyFont="1" applyBorder="1"/>
    <xf numFmtId="10" fontId="3" fillId="5" borderId="2" xfId="0" applyNumberFormat="1" applyFont="1" applyFill="1" applyBorder="1"/>
    <xf numFmtId="9" fontId="3" fillId="5" borderId="2" xfId="2" applyNumberFormat="1" applyFont="1" applyFill="1" applyBorder="1"/>
    <xf numFmtId="10" fontId="3" fillId="5" borderId="2" xfId="2" applyNumberFormat="1" applyFont="1" applyFill="1" applyBorder="1"/>
    <xf numFmtId="0" fontId="8" fillId="6" borderId="2" xfId="0" applyNumberFormat="1" applyFont="1" applyFill="1" applyBorder="1" applyAlignment="1">
      <alignment horizontal="right" vertical="top" wrapText="1"/>
    </xf>
    <xf numFmtId="10" fontId="4" fillId="0" borderId="9" xfId="3" applyNumberFormat="1" applyFont="1" applyBorder="1" applyAlignment="1">
      <alignment horizontal="center" wrapText="1" readingOrder="1"/>
    </xf>
    <xf numFmtId="10" fontId="3" fillId="0" borderId="0" xfId="2" applyNumberFormat="1" applyFont="1" applyFill="1" applyBorder="1"/>
    <xf numFmtId="10" fontId="3" fillId="0" borderId="0" xfId="0" applyNumberFormat="1" applyFont="1"/>
    <xf numFmtId="1" fontId="8" fillId="3" borderId="2" xfId="0" applyNumberFormat="1" applyFont="1" applyFill="1" applyBorder="1" applyAlignment="1">
      <alignment horizontal="right" vertical="top" wrapText="1"/>
    </xf>
    <xf numFmtId="0" fontId="8" fillId="3" borderId="2" xfId="0" applyNumberFormat="1" applyFont="1" applyFill="1" applyBorder="1" applyAlignment="1">
      <alignment horizontal="right" vertical="top" wrapText="1"/>
    </xf>
    <xf numFmtId="3" fontId="3" fillId="0" borderId="2" xfId="0" applyNumberFormat="1" applyFont="1" applyFill="1" applyBorder="1"/>
    <xf numFmtId="0" fontId="5" fillId="2" borderId="11" xfId="0" applyFont="1" applyFill="1" applyBorder="1"/>
    <xf numFmtId="0" fontId="5" fillId="2" borderId="12" xfId="0" applyFont="1" applyFill="1" applyBorder="1"/>
    <xf numFmtId="3" fontId="3" fillId="2" borderId="12" xfId="0" applyNumberFormat="1" applyFont="1" applyFill="1" applyBorder="1"/>
    <xf numFmtId="10" fontId="3" fillId="2" borderId="13" xfId="2" applyNumberFormat="1" applyFont="1" applyFill="1" applyBorder="1"/>
    <xf numFmtId="10" fontId="3" fillId="5" borderId="5" xfId="2" applyNumberFormat="1" applyFont="1" applyFill="1" applyBorder="1"/>
    <xf numFmtId="0" fontId="11" fillId="0" borderId="2" xfId="0" applyFont="1" applyBorder="1"/>
    <xf numFmtId="0" fontId="12" fillId="0" borderId="2" xfId="0" applyFont="1" applyBorder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4">
    <cellStyle name="Comma" xfId="1" builtinId="3"/>
    <cellStyle name="Heading 3" xfId="3" builtinId="18"/>
    <cellStyle name="Normal" xfId="0" builtinId="0"/>
    <cellStyle name="Percent" xfId="2" builtinId="5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4" formatCode="0.00%"/>
      <fill>
        <patternFill patternType="solid">
          <fgColor indexed="64"/>
          <bgColor rgb="FFFFCCCC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99"/>
      <color rgb="FFFFCC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F459" totalsRowShown="0" dataDxfId="7" headerRowBorderDxfId="8" tableBorderDxfId="6">
  <autoFilter ref="A2:F459" xr:uid="{00000000-0009-0000-0100-000001000000}"/>
  <tableColumns count="6">
    <tableColumn id="1" xr3:uid="{00000000-0010-0000-0000-000001000000}" name="District" dataDxfId="5"/>
    <tableColumn id="2" xr3:uid="{00000000-0010-0000-0000-000002000000}" name="School" dataDxfId="4"/>
    <tableColumn id="3" xr3:uid="{00000000-0010-0000-0000-000003000000}" name="Free" dataDxfId="3"/>
    <tableColumn id="4" xr3:uid="{00000000-0010-0000-0000-000004000000}" name="Reduced" dataDxfId="2"/>
    <tableColumn id="5" xr3:uid="{00000000-0010-0000-0000-000005000000}" name="Enrolled" dataDxfId="1"/>
    <tableColumn id="6" xr3:uid="{00000000-0010-0000-0000-000006000000}" name="% F&amp; R" dataDxfId="0" dataCellStyle="Percent">
      <calculatedColumnFormula>(C3+D3)/E3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Alaska Department of Education &amp; Early Development_x000d__x000a_Child Nutriton Program_x000d__x000a_National School Lunch Programs_x000d__x000a_Free and Reduced Price Meals Report_x000d__x000a_For Program Year: 2018_x000d__x000a_*Calculations based on CEP multipler (ISP X 1.6) to those sites approve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84"/>
  <sheetViews>
    <sheetView tabSelected="1" zoomScale="85" zoomScaleNormal="85" workbookViewId="0">
      <pane xSplit="6" ySplit="2" topLeftCell="G361" activePane="bottomRight" state="frozenSplit"/>
      <selection pane="topRight" activeCell="G1" sqref="G1"/>
      <selection pane="bottomLeft" activeCell="A2" sqref="A2"/>
      <selection pane="bottomRight" activeCell="B376" sqref="B376:B386"/>
    </sheetView>
  </sheetViews>
  <sheetFormatPr defaultColWidth="0" defaultRowHeight="15.75" zeroHeight="1" x14ac:dyDescent="0.25"/>
  <cols>
    <col min="1" max="1" width="47.28515625" style="1" bestFit="1" customWidth="1"/>
    <col min="2" max="2" width="49.42578125" style="1" customWidth="1"/>
    <col min="3" max="3" width="10.5703125" style="17" customWidth="1"/>
    <col min="4" max="4" width="11" style="17" customWidth="1"/>
    <col min="5" max="5" width="10.85546875" style="17" customWidth="1"/>
    <col min="6" max="6" width="12.5703125" style="53" customWidth="1"/>
    <col min="7" max="7" width="8.85546875" style="2" hidden="1" customWidth="1"/>
    <col min="8" max="8" width="10" style="1" hidden="1" customWidth="1"/>
    <col min="9" max="9" width="0" style="2" hidden="1" customWidth="1"/>
    <col min="10" max="10" width="27.7109375" style="1" hidden="1" customWidth="1"/>
    <col min="11" max="11" width="0.85546875" style="1" hidden="1" customWidth="1"/>
    <col min="12" max="16" width="0" style="1" hidden="1" customWidth="1"/>
    <col min="17" max="17" width="8.85546875" style="1" hidden="1" customWidth="1"/>
    <col min="18" max="18" width="10" style="1" hidden="1" customWidth="1"/>
    <col min="19" max="20" width="0" style="1" hidden="1" customWidth="1"/>
    <col min="21" max="16384" width="8.85546875" style="1" hidden="1"/>
  </cols>
  <sheetData>
    <row r="1" spans="1:9" s="25" customFormat="1" ht="132" customHeight="1" x14ac:dyDescent="0.3">
      <c r="A1" s="64" t="s">
        <v>469</v>
      </c>
      <c r="B1" s="65"/>
      <c r="C1" s="65"/>
      <c r="D1" s="65"/>
      <c r="E1" s="65"/>
      <c r="F1" s="65"/>
      <c r="G1" s="26"/>
      <c r="I1" s="26"/>
    </row>
    <row r="2" spans="1:9" x14ac:dyDescent="0.25">
      <c r="A2" s="38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51" t="s">
        <v>5</v>
      </c>
    </row>
    <row r="3" spans="1:9" x14ac:dyDescent="0.25">
      <c r="A3" s="39" t="s">
        <v>7</v>
      </c>
      <c r="B3" s="6" t="s">
        <v>397</v>
      </c>
      <c r="C3" s="7">
        <f>SUM(C4:C10)</f>
        <v>335.92600000000004</v>
      </c>
      <c r="D3" s="7">
        <f>SUM(D4:D10)</f>
        <v>0</v>
      </c>
      <c r="E3" s="7">
        <f>SUM(E4:E10)</f>
        <v>346</v>
      </c>
      <c r="F3" s="45">
        <f t="shared" ref="F3:F11" si="0">(C3+D3)/E3</f>
        <v>0.97088439306358398</v>
      </c>
    </row>
    <row r="4" spans="1:9" x14ac:dyDescent="0.25">
      <c r="A4" s="35" t="s">
        <v>7</v>
      </c>
      <c r="B4" s="8" t="s">
        <v>217</v>
      </c>
      <c r="C4" s="27">
        <f>E4*0.9142</f>
        <v>10.0562</v>
      </c>
      <c r="D4" s="28">
        <v>0</v>
      </c>
      <c r="E4" s="28">
        <v>11</v>
      </c>
      <c r="F4" s="44">
        <f t="shared" si="0"/>
        <v>0.91420000000000001</v>
      </c>
      <c r="G4" s="9"/>
      <c r="H4" s="10"/>
      <c r="I4" s="9"/>
    </row>
    <row r="5" spans="1:9" x14ac:dyDescent="0.25">
      <c r="A5" s="35" t="s">
        <v>7</v>
      </c>
      <c r="B5" s="8" t="s">
        <v>218</v>
      </c>
      <c r="C5" s="27">
        <f>E5*0.9332</f>
        <v>13.998000000000001</v>
      </c>
      <c r="D5" s="28">
        <v>0</v>
      </c>
      <c r="E5" s="28">
        <v>15</v>
      </c>
      <c r="F5" s="44">
        <f t="shared" si="0"/>
        <v>0.93320000000000003</v>
      </c>
      <c r="G5" s="11"/>
      <c r="I5" s="9"/>
    </row>
    <row r="6" spans="1:9" x14ac:dyDescent="0.25">
      <c r="A6" s="35" t="s">
        <v>7</v>
      </c>
      <c r="B6" s="8" t="s">
        <v>219</v>
      </c>
      <c r="C6" s="27">
        <f>E6*1</f>
        <v>32</v>
      </c>
      <c r="D6" s="28">
        <v>0</v>
      </c>
      <c r="E6" s="28">
        <v>32</v>
      </c>
      <c r="F6" s="44">
        <f t="shared" si="0"/>
        <v>1</v>
      </c>
      <c r="G6" s="11"/>
      <c r="I6" s="9"/>
    </row>
    <row r="7" spans="1:9" x14ac:dyDescent="0.25">
      <c r="A7" s="35" t="s">
        <v>7</v>
      </c>
      <c r="B7" s="8" t="s">
        <v>220</v>
      </c>
      <c r="C7" s="27">
        <f>E7*1</f>
        <v>13</v>
      </c>
      <c r="D7" s="28">
        <v>0</v>
      </c>
      <c r="E7" s="28">
        <v>13</v>
      </c>
      <c r="F7" s="44">
        <f t="shared" si="0"/>
        <v>1</v>
      </c>
      <c r="G7" s="11"/>
      <c r="I7" s="9"/>
    </row>
    <row r="8" spans="1:9" x14ac:dyDescent="0.25">
      <c r="A8" s="35" t="s">
        <v>7</v>
      </c>
      <c r="B8" s="8" t="s">
        <v>221</v>
      </c>
      <c r="C8" s="27">
        <f>E8*1</f>
        <v>38</v>
      </c>
      <c r="D8" s="28">
        <v>0</v>
      </c>
      <c r="E8" s="28">
        <v>38</v>
      </c>
      <c r="F8" s="44">
        <f t="shared" si="0"/>
        <v>1</v>
      </c>
      <c r="G8" s="11"/>
      <c r="I8" s="9"/>
    </row>
    <row r="9" spans="1:9" x14ac:dyDescent="0.25">
      <c r="A9" s="35" t="s">
        <v>7</v>
      </c>
      <c r="B9" s="8" t="s">
        <v>222</v>
      </c>
      <c r="C9" s="27">
        <f>E9*0.9563</f>
        <v>177.87180000000001</v>
      </c>
      <c r="D9" s="28">
        <v>0</v>
      </c>
      <c r="E9" s="28">
        <v>186</v>
      </c>
      <c r="F9" s="44">
        <f t="shared" si="0"/>
        <v>0.95630000000000004</v>
      </c>
      <c r="G9" s="11"/>
      <c r="I9" s="9"/>
    </row>
    <row r="10" spans="1:9" x14ac:dyDescent="0.25">
      <c r="A10" s="35" t="s">
        <v>7</v>
      </c>
      <c r="B10" s="8" t="s">
        <v>223</v>
      </c>
      <c r="C10" s="27">
        <f>E10*1</f>
        <v>51</v>
      </c>
      <c r="D10" s="28">
        <v>0</v>
      </c>
      <c r="E10" s="28">
        <v>51</v>
      </c>
      <c r="F10" s="44">
        <f t="shared" si="0"/>
        <v>1</v>
      </c>
      <c r="G10" s="11"/>
      <c r="I10" s="9"/>
    </row>
    <row r="11" spans="1:9" x14ac:dyDescent="0.25">
      <c r="A11" s="39" t="s">
        <v>407</v>
      </c>
      <c r="B11" s="6" t="s">
        <v>397</v>
      </c>
      <c r="C11" s="7">
        <f>SUM(C12:C94)</f>
        <v>18994.972099999999</v>
      </c>
      <c r="D11" s="7">
        <f>SUM(D12:D94)</f>
        <v>1472</v>
      </c>
      <c r="E11" s="7">
        <f>SUM(E12:E94)</f>
        <v>42551</v>
      </c>
      <c r="F11" s="45">
        <f t="shared" si="0"/>
        <v>0.48099861577871256</v>
      </c>
    </row>
    <row r="12" spans="1:9" x14ac:dyDescent="0.25">
      <c r="A12" s="35" t="s">
        <v>8</v>
      </c>
      <c r="B12" s="8" t="s">
        <v>340</v>
      </c>
      <c r="C12" s="36">
        <f>E12*0.5842</f>
        <v>195.12280000000001</v>
      </c>
      <c r="D12" s="28">
        <v>0</v>
      </c>
      <c r="E12" s="28">
        <v>334</v>
      </c>
      <c r="F12" s="47">
        <v>0.58420000000000005</v>
      </c>
    </row>
    <row r="13" spans="1:9" x14ac:dyDescent="0.25">
      <c r="A13" s="35" t="s">
        <v>8</v>
      </c>
      <c r="B13" s="8" t="s">
        <v>224</v>
      </c>
      <c r="C13" s="36">
        <f>E13*1</f>
        <v>307</v>
      </c>
      <c r="D13" s="28">
        <v>0</v>
      </c>
      <c r="E13" s="28">
        <v>307</v>
      </c>
      <c r="F13" s="47">
        <v>1</v>
      </c>
    </row>
    <row r="14" spans="1:9" x14ac:dyDescent="0.25">
      <c r="A14" s="35" t="s">
        <v>8</v>
      </c>
      <c r="B14" s="8" t="s">
        <v>225</v>
      </c>
      <c r="C14" s="36">
        <f>E14*1</f>
        <v>317</v>
      </c>
      <c r="D14" s="28">
        <v>0</v>
      </c>
      <c r="E14" s="28">
        <v>317</v>
      </c>
      <c r="F14" s="47">
        <v>1</v>
      </c>
    </row>
    <row r="15" spans="1:9" x14ac:dyDescent="0.25">
      <c r="A15" s="35" t="s">
        <v>8</v>
      </c>
      <c r="B15" s="8" t="s">
        <v>9</v>
      </c>
      <c r="C15" s="28">
        <v>50</v>
      </c>
      <c r="D15" s="28">
        <v>26</v>
      </c>
      <c r="E15" s="28">
        <v>494</v>
      </c>
      <c r="F15" s="47">
        <f>(C15+D15)/E15</f>
        <v>0.15384615384615385</v>
      </c>
    </row>
    <row r="16" spans="1:9" x14ac:dyDescent="0.25">
      <c r="A16" s="35" t="s">
        <v>8</v>
      </c>
      <c r="B16" s="8" t="s">
        <v>10</v>
      </c>
      <c r="C16" s="28">
        <v>43</v>
      </c>
      <c r="D16" s="28">
        <v>42</v>
      </c>
      <c r="E16" s="28">
        <v>333</v>
      </c>
      <c r="F16" s="47">
        <f>(C16+D16)/E16</f>
        <v>0.25525525525525528</v>
      </c>
    </row>
    <row r="17" spans="1:6" x14ac:dyDescent="0.25">
      <c r="A17" s="35" t="s">
        <v>8</v>
      </c>
      <c r="B17" s="8" t="s">
        <v>367</v>
      </c>
      <c r="C17" s="36">
        <f>E17*1</f>
        <v>100</v>
      </c>
      <c r="D17" s="28">
        <v>0</v>
      </c>
      <c r="E17" s="28">
        <v>100</v>
      </c>
      <c r="F17" s="47">
        <v>1</v>
      </c>
    </row>
    <row r="18" spans="1:6" x14ac:dyDescent="0.25">
      <c r="A18" s="35" t="s">
        <v>8</v>
      </c>
      <c r="B18" s="8" t="s">
        <v>226</v>
      </c>
      <c r="C18" s="29">
        <f>E18*0.6507</f>
        <v>910.9799999999999</v>
      </c>
      <c r="D18" s="28">
        <v>0</v>
      </c>
      <c r="E18" s="29">
        <v>1400</v>
      </c>
      <c r="F18" s="47">
        <v>0.65069999999999995</v>
      </c>
    </row>
    <row r="19" spans="1:6" x14ac:dyDescent="0.25">
      <c r="A19" s="35" t="s">
        <v>8</v>
      </c>
      <c r="B19" s="8" t="s">
        <v>227</v>
      </c>
      <c r="C19" s="36">
        <f>E19*0.6352</f>
        <v>195.00639999999999</v>
      </c>
      <c r="D19" s="28">
        <v>0</v>
      </c>
      <c r="E19" s="28">
        <v>307</v>
      </c>
      <c r="F19" s="47">
        <v>0.63519999999999999</v>
      </c>
    </row>
    <row r="20" spans="1:6" x14ac:dyDescent="0.25">
      <c r="A20" s="35" t="s">
        <v>8</v>
      </c>
      <c r="B20" s="8" t="s">
        <v>11</v>
      </c>
      <c r="C20" s="28">
        <v>76</v>
      </c>
      <c r="D20" s="28">
        <v>24</v>
      </c>
      <c r="E20" s="28">
        <v>445</v>
      </c>
      <c r="F20" s="47">
        <f>(C20+D20)/E20</f>
        <v>0.2247191011235955</v>
      </c>
    </row>
    <row r="21" spans="1:6" x14ac:dyDescent="0.25">
      <c r="A21" s="35" t="s">
        <v>8</v>
      </c>
      <c r="B21" s="8" t="s">
        <v>12</v>
      </c>
      <c r="C21" s="28">
        <v>18</v>
      </c>
      <c r="D21" s="28">
        <v>4</v>
      </c>
      <c r="E21" s="28">
        <v>427</v>
      </c>
      <c r="F21" s="47">
        <f>(C21+D21)/E21</f>
        <v>5.1522248243559721E-2</v>
      </c>
    </row>
    <row r="22" spans="1:6" x14ac:dyDescent="0.25">
      <c r="A22" s="35" t="s">
        <v>8</v>
      </c>
      <c r="B22" s="8" t="s">
        <v>341</v>
      </c>
      <c r="C22" s="36">
        <f>E22*0.9728</f>
        <v>244.1728</v>
      </c>
      <c r="D22" s="28">
        <v>0</v>
      </c>
      <c r="E22" s="28">
        <v>251</v>
      </c>
      <c r="F22" s="47">
        <v>0.9728</v>
      </c>
    </row>
    <row r="23" spans="1:6" x14ac:dyDescent="0.25">
      <c r="A23" s="35" t="s">
        <v>8</v>
      </c>
      <c r="B23" s="8" t="s">
        <v>460</v>
      </c>
      <c r="C23" s="28">
        <v>83</v>
      </c>
      <c r="D23" s="28">
        <v>12</v>
      </c>
      <c r="E23" s="28">
        <v>329</v>
      </c>
      <c r="F23" s="47">
        <f>(C23+D23)/E23</f>
        <v>0.28875379939209728</v>
      </c>
    </row>
    <row r="24" spans="1:6" x14ac:dyDescent="0.25">
      <c r="A24" s="35" t="s">
        <v>8</v>
      </c>
      <c r="B24" s="8" t="s">
        <v>13</v>
      </c>
      <c r="C24" s="28">
        <v>134</v>
      </c>
      <c r="D24" s="28">
        <v>37</v>
      </c>
      <c r="E24" s="28">
        <v>587</v>
      </c>
      <c r="F24" s="47">
        <f t="shared" ref="F24:F25" si="1">(C24+D24)/E24</f>
        <v>0.29131175468483816</v>
      </c>
    </row>
    <row r="25" spans="1:6" x14ac:dyDescent="0.25">
      <c r="A25" s="35" t="s">
        <v>8</v>
      </c>
      <c r="B25" s="8" t="s">
        <v>14</v>
      </c>
      <c r="C25" s="28">
        <v>166</v>
      </c>
      <c r="D25" s="28">
        <v>34</v>
      </c>
      <c r="E25" s="28">
        <v>415</v>
      </c>
      <c r="F25" s="47">
        <f t="shared" si="1"/>
        <v>0.48192771084337349</v>
      </c>
    </row>
    <row r="26" spans="1:6" x14ac:dyDescent="0.25">
      <c r="A26" s="35" t="s">
        <v>8</v>
      </c>
      <c r="B26" s="8" t="s">
        <v>342</v>
      </c>
      <c r="C26" s="36">
        <f>E26*0.7957</f>
        <v>331.01119999999997</v>
      </c>
      <c r="D26" s="28">
        <v>0</v>
      </c>
      <c r="E26" s="28">
        <v>416</v>
      </c>
      <c r="F26" s="47">
        <v>0.79569999999999996</v>
      </c>
    </row>
    <row r="27" spans="1:6" x14ac:dyDescent="0.25">
      <c r="A27" s="35" t="s">
        <v>8</v>
      </c>
      <c r="B27" s="8" t="s">
        <v>228</v>
      </c>
      <c r="C27" s="36">
        <f>E27*0.7435</f>
        <v>210.41050000000001</v>
      </c>
      <c r="D27" s="28">
        <v>0</v>
      </c>
      <c r="E27" s="28">
        <v>283</v>
      </c>
      <c r="F27" s="47">
        <v>0.74350000000000005</v>
      </c>
    </row>
    <row r="28" spans="1:6" x14ac:dyDescent="0.25">
      <c r="A28" s="35" t="s">
        <v>8</v>
      </c>
      <c r="B28" s="8" t="s">
        <v>229</v>
      </c>
      <c r="C28" s="36">
        <f>E28*0.6413</f>
        <v>323.85649999999998</v>
      </c>
      <c r="D28" s="28">
        <v>0</v>
      </c>
      <c r="E28" s="28">
        <v>505</v>
      </c>
      <c r="F28" s="47">
        <v>0.64129999999999998</v>
      </c>
    </row>
    <row r="29" spans="1:6" x14ac:dyDescent="0.25">
      <c r="A29" s="35" t="s">
        <v>8</v>
      </c>
      <c r="B29" s="8" t="s">
        <v>15</v>
      </c>
      <c r="C29" s="28">
        <v>20</v>
      </c>
      <c r="D29" s="28">
        <v>7</v>
      </c>
      <c r="E29" s="28">
        <v>264</v>
      </c>
      <c r="F29" s="47">
        <f t="shared" ref="F29:F31" si="2">(C29+D29)/E29</f>
        <v>0.10227272727272728</v>
      </c>
    </row>
    <row r="30" spans="1:6" x14ac:dyDescent="0.25">
      <c r="A30" s="35" t="s">
        <v>8</v>
      </c>
      <c r="B30" s="8" t="s">
        <v>16</v>
      </c>
      <c r="C30" s="28">
        <v>81</v>
      </c>
      <c r="D30" s="28">
        <v>13</v>
      </c>
      <c r="E30" s="28">
        <v>507</v>
      </c>
      <c r="F30" s="47">
        <f t="shared" si="2"/>
        <v>0.1854043392504931</v>
      </c>
    </row>
    <row r="31" spans="1:6" x14ac:dyDescent="0.25">
      <c r="A31" s="35" t="s">
        <v>8</v>
      </c>
      <c r="B31" s="8" t="s">
        <v>17</v>
      </c>
      <c r="C31" s="28">
        <v>247</v>
      </c>
      <c r="D31" s="28">
        <v>64</v>
      </c>
      <c r="E31" s="29">
        <v>1505</v>
      </c>
      <c r="F31" s="47">
        <f t="shared" si="2"/>
        <v>0.20664451827242525</v>
      </c>
    </row>
    <row r="32" spans="1:6" x14ac:dyDescent="0.25">
      <c r="A32" s="35" t="s">
        <v>8</v>
      </c>
      <c r="B32" s="8" t="s">
        <v>230</v>
      </c>
      <c r="C32" s="36">
        <f>E32*1</f>
        <v>879</v>
      </c>
      <c r="D32" s="29">
        <v>0</v>
      </c>
      <c r="E32" s="29">
        <v>879</v>
      </c>
      <c r="F32" s="47">
        <v>1</v>
      </c>
    </row>
    <row r="33" spans="1:6" x14ac:dyDescent="0.25">
      <c r="A33" s="35" t="s">
        <v>8</v>
      </c>
      <c r="B33" s="8" t="s">
        <v>343</v>
      </c>
      <c r="C33" s="36">
        <f>E33*0.5915</f>
        <v>246.65550000000002</v>
      </c>
      <c r="D33" s="28">
        <v>0</v>
      </c>
      <c r="E33" s="28">
        <v>417</v>
      </c>
      <c r="F33" s="47">
        <v>0.59150000000000003</v>
      </c>
    </row>
    <row r="34" spans="1:6" x14ac:dyDescent="0.25">
      <c r="A34" s="35" t="s">
        <v>8</v>
      </c>
      <c r="B34" s="8" t="s">
        <v>231</v>
      </c>
      <c r="C34" s="29">
        <f>E34*0.8595</f>
        <v>409.12200000000001</v>
      </c>
      <c r="D34" s="28">
        <v>0</v>
      </c>
      <c r="E34" s="28">
        <v>476</v>
      </c>
      <c r="F34" s="47">
        <v>0.85950000000000004</v>
      </c>
    </row>
    <row r="35" spans="1:6" x14ac:dyDescent="0.25">
      <c r="A35" s="35" t="s">
        <v>8</v>
      </c>
      <c r="B35" s="8" t="s">
        <v>18</v>
      </c>
      <c r="C35" s="28">
        <v>186</v>
      </c>
      <c r="D35" s="28">
        <v>18</v>
      </c>
      <c r="E35" s="28">
        <v>425</v>
      </c>
      <c r="F35" s="47">
        <f t="shared" ref="F35:F38" si="3">(C35+D35)/E35</f>
        <v>0.48</v>
      </c>
    </row>
    <row r="36" spans="1:6" x14ac:dyDescent="0.25">
      <c r="A36" s="35" t="s">
        <v>8</v>
      </c>
      <c r="B36" s="8" t="s">
        <v>19</v>
      </c>
      <c r="C36" s="28">
        <v>368</v>
      </c>
      <c r="D36" s="28">
        <v>85</v>
      </c>
      <c r="E36" s="29">
        <v>1515</v>
      </c>
      <c r="F36" s="47">
        <f>(C36+D36)/E36</f>
        <v>0.299009900990099</v>
      </c>
    </row>
    <row r="37" spans="1:6" x14ac:dyDescent="0.25">
      <c r="A37" s="35" t="s">
        <v>8</v>
      </c>
      <c r="B37" s="8" t="s">
        <v>474</v>
      </c>
      <c r="C37" s="28">
        <v>0</v>
      </c>
      <c r="D37" s="28">
        <v>0</v>
      </c>
      <c r="E37" s="28">
        <v>0</v>
      </c>
      <c r="F37" s="47">
        <v>0</v>
      </c>
    </row>
    <row r="38" spans="1:6" x14ac:dyDescent="0.25">
      <c r="A38" s="35" t="s">
        <v>8</v>
      </c>
      <c r="B38" s="8" t="s">
        <v>20</v>
      </c>
      <c r="C38" s="28">
        <v>61</v>
      </c>
      <c r="D38" s="28">
        <v>61</v>
      </c>
      <c r="E38" s="28">
        <v>863</v>
      </c>
      <c r="F38" s="47">
        <f t="shared" si="3"/>
        <v>0.14136732329084589</v>
      </c>
    </row>
    <row r="39" spans="1:6" x14ac:dyDescent="0.25">
      <c r="A39" s="35" t="s">
        <v>8</v>
      </c>
      <c r="B39" s="8" t="s">
        <v>232</v>
      </c>
      <c r="C39" s="36">
        <f>E39*0.737</f>
        <v>1303.7529999999999</v>
      </c>
      <c r="D39" s="28">
        <v>0</v>
      </c>
      <c r="E39" s="29">
        <v>1769</v>
      </c>
      <c r="F39" s="47">
        <v>0.73699999999999999</v>
      </c>
    </row>
    <row r="40" spans="1:6" x14ac:dyDescent="0.25">
      <c r="A40" s="35" t="s">
        <v>8</v>
      </c>
      <c r="B40" s="8" t="s">
        <v>233</v>
      </c>
      <c r="C40" s="36">
        <f>E40*1</f>
        <v>378</v>
      </c>
      <c r="D40" s="28">
        <v>0</v>
      </c>
      <c r="E40" s="28">
        <v>378</v>
      </c>
      <c r="F40" s="47">
        <v>1</v>
      </c>
    </row>
    <row r="41" spans="1:6" x14ac:dyDescent="0.25">
      <c r="A41" s="35" t="s">
        <v>8</v>
      </c>
      <c r="B41" s="8" t="s">
        <v>21</v>
      </c>
      <c r="C41" s="28">
        <v>100</v>
      </c>
      <c r="D41" s="28">
        <v>28</v>
      </c>
      <c r="E41" s="28">
        <v>409</v>
      </c>
      <c r="F41" s="47">
        <f t="shared" ref="F41:F44" si="4">(C41+D41)/E41</f>
        <v>0.31295843520782396</v>
      </c>
    </row>
    <row r="42" spans="1:6" x14ac:dyDescent="0.25">
      <c r="A42" s="35" t="s">
        <v>8</v>
      </c>
      <c r="B42" s="8" t="s">
        <v>22</v>
      </c>
      <c r="C42" s="28">
        <v>26</v>
      </c>
      <c r="D42" s="28">
        <v>3</v>
      </c>
      <c r="E42" s="28">
        <v>210</v>
      </c>
      <c r="F42" s="47">
        <f t="shared" si="4"/>
        <v>0.1380952380952381</v>
      </c>
    </row>
    <row r="43" spans="1:6" x14ac:dyDescent="0.25">
      <c r="A43" s="35" t="s">
        <v>8</v>
      </c>
      <c r="B43" s="8" t="s">
        <v>470</v>
      </c>
      <c r="C43" s="36">
        <f>E43*0.7507</f>
        <v>302.53210000000001</v>
      </c>
      <c r="D43" s="28">
        <v>0</v>
      </c>
      <c r="E43" s="28">
        <v>403</v>
      </c>
      <c r="F43" s="47">
        <v>0.75070000000000003</v>
      </c>
    </row>
    <row r="44" spans="1:6" x14ac:dyDescent="0.25">
      <c r="A44" s="35" t="s">
        <v>8</v>
      </c>
      <c r="B44" s="8" t="s">
        <v>23</v>
      </c>
      <c r="C44" s="28">
        <v>116</v>
      </c>
      <c r="D44" s="28">
        <v>15</v>
      </c>
      <c r="E44" s="28">
        <v>718</v>
      </c>
      <c r="F44" s="47">
        <f t="shared" si="4"/>
        <v>0.18245125348189414</v>
      </c>
    </row>
    <row r="45" spans="1:6" x14ac:dyDescent="0.25">
      <c r="A45" s="35" t="s">
        <v>8</v>
      </c>
      <c r="B45" s="8" t="s">
        <v>366</v>
      </c>
      <c r="C45" s="36">
        <f>E45*0.5707</f>
        <v>285.34999999999997</v>
      </c>
      <c r="D45" s="28">
        <v>0</v>
      </c>
      <c r="E45" s="28">
        <v>500</v>
      </c>
      <c r="F45" s="47">
        <v>0.57069999999999999</v>
      </c>
    </row>
    <row r="46" spans="1:6" x14ac:dyDescent="0.25">
      <c r="A46" s="35" t="s">
        <v>8</v>
      </c>
      <c r="B46" s="8" t="s">
        <v>473</v>
      </c>
      <c r="C46" s="28">
        <v>0</v>
      </c>
      <c r="D46" s="28">
        <v>0</v>
      </c>
      <c r="E46" s="28">
        <v>0</v>
      </c>
      <c r="F46" s="47">
        <v>0</v>
      </c>
    </row>
    <row r="47" spans="1:6" x14ac:dyDescent="0.25">
      <c r="A47" s="35" t="s">
        <v>8</v>
      </c>
      <c r="B47" s="8" t="s">
        <v>24</v>
      </c>
      <c r="C47" s="28">
        <v>266</v>
      </c>
      <c r="D47" s="28">
        <v>53</v>
      </c>
      <c r="E47" s="28">
        <v>710</v>
      </c>
      <c r="F47" s="47">
        <f t="shared" ref="F47:F57" si="5">(C47+D47)/E47</f>
        <v>0.44929577464788734</v>
      </c>
    </row>
    <row r="48" spans="1:6" x14ac:dyDescent="0.25">
      <c r="A48" s="35" t="s">
        <v>8</v>
      </c>
      <c r="B48" s="8" t="s">
        <v>25</v>
      </c>
      <c r="C48" s="28">
        <v>82</v>
      </c>
      <c r="D48" s="28">
        <v>25</v>
      </c>
      <c r="E48" s="28">
        <v>464</v>
      </c>
      <c r="F48" s="47">
        <f t="shared" si="5"/>
        <v>0.23060344827586207</v>
      </c>
    </row>
    <row r="49" spans="1:6" x14ac:dyDescent="0.25">
      <c r="A49" s="35" t="s">
        <v>8</v>
      </c>
      <c r="B49" s="8" t="s">
        <v>26</v>
      </c>
      <c r="C49" s="28">
        <v>66</v>
      </c>
      <c r="D49" s="28">
        <v>9</v>
      </c>
      <c r="E49" s="28">
        <v>415</v>
      </c>
      <c r="F49" s="47">
        <f t="shared" si="5"/>
        <v>0.18072289156626506</v>
      </c>
    </row>
    <row r="50" spans="1:6" x14ac:dyDescent="0.25">
      <c r="A50" s="35" t="s">
        <v>8</v>
      </c>
      <c r="B50" s="8" t="s">
        <v>27</v>
      </c>
      <c r="C50" s="28">
        <v>79</v>
      </c>
      <c r="D50" s="28">
        <v>12</v>
      </c>
      <c r="E50" s="28">
        <v>254</v>
      </c>
      <c r="F50" s="47">
        <f t="shared" si="5"/>
        <v>0.35826771653543305</v>
      </c>
    </row>
    <row r="51" spans="1:6" x14ac:dyDescent="0.25">
      <c r="A51" s="35" t="s">
        <v>8</v>
      </c>
      <c r="B51" s="8" t="s">
        <v>28</v>
      </c>
      <c r="C51" s="28">
        <v>138</v>
      </c>
      <c r="D51" s="28">
        <v>24</v>
      </c>
      <c r="E51" s="28">
        <v>358</v>
      </c>
      <c r="F51" s="47">
        <f t="shared" si="5"/>
        <v>0.45251396648044695</v>
      </c>
    </row>
    <row r="52" spans="1:6" x14ac:dyDescent="0.25">
      <c r="A52" s="35" t="s">
        <v>8</v>
      </c>
      <c r="B52" s="8" t="s">
        <v>29</v>
      </c>
      <c r="C52" s="28">
        <v>135</v>
      </c>
      <c r="D52" s="28">
        <v>9</v>
      </c>
      <c r="E52" s="28">
        <v>553</v>
      </c>
      <c r="F52" s="47">
        <f t="shared" si="5"/>
        <v>0.2603978300180832</v>
      </c>
    </row>
    <row r="53" spans="1:6" x14ac:dyDescent="0.25">
      <c r="A53" s="35" t="s">
        <v>8</v>
      </c>
      <c r="B53" s="8" t="s">
        <v>234</v>
      </c>
      <c r="C53" s="36">
        <f>E53*0.6474</f>
        <v>262.84440000000001</v>
      </c>
      <c r="D53" s="28">
        <v>0</v>
      </c>
      <c r="E53" s="28">
        <v>406</v>
      </c>
      <c r="F53" s="47">
        <v>0.64739999999999998</v>
      </c>
    </row>
    <row r="54" spans="1:6" x14ac:dyDescent="0.25">
      <c r="A54" s="35" t="s">
        <v>8</v>
      </c>
      <c r="B54" s="8" t="s">
        <v>30</v>
      </c>
      <c r="C54" s="28">
        <v>144</v>
      </c>
      <c r="D54" s="28">
        <v>36</v>
      </c>
      <c r="E54" s="28">
        <v>317</v>
      </c>
      <c r="F54" s="47">
        <f t="shared" si="5"/>
        <v>0.56782334384858046</v>
      </c>
    </row>
    <row r="55" spans="1:6" x14ac:dyDescent="0.25">
      <c r="A55" s="35" t="s">
        <v>8</v>
      </c>
      <c r="B55" s="8" t="s">
        <v>235</v>
      </c>
      <c r="C55" s="36">
        <f>E55*0.7179</f>
        <v>297.92849999999999</v>
      </c>
      <c r="D55" s="28">
        <v>0</v>
      </c>
      <c r="E55" s="28">
        <v>415</v>
      </c>
      <c r="F55" s="47">
        <v>0.71789999999999998</v>
      </c>
    </row>
    <row r="56" spans="1:6" x14ac:dyDescent="0.25">
      <c r="A56" s="35" t="s">
        <v>8</v>
      </c>
      <c r="B56" s="8" t="s">
        <v>31</v>
      </c>
      <c r="C56" s="28">
        <v>231</v>
      </c>
      <c r="D56" s="28">
        <v>47</v>
      </c>
      <c r="E56" s="28">
        <v>757</v>
      </c>
      <c r="F56" s="47">
        <f t="shared" si="5"/>
        <v>0.36723910171730517</v>
      </c>
    </row>
    <row r="57" spans="1:6" x14ac:dyDescent="0.25">
      <c r="A57" s="35" t="s">
        <v>8</v>
      </c>
      <c r="B57" s="8" t="s">
        <v>32</v>
      </c>
      <c r="C57" s="28">
        <v>123</v>
      </c>
      <c r="D57" s="28">
        <v>21</v>
      </c>
      <c r="E57" s="28">
        <v>682</v>
      </c>
      <c r="F57" s="47">
        <f t="shared" si="5"/>
        <v>0.21114369501466276</v>
      </c>
    </row>
    <row r="58" spans="1:6" x14ac:dyDescent="0.25">
      <c r="A58" s="35" t="s">
        <v>8</v>
      </c>
      <c r="B58" s="8" t="s">
        <v>236</v>
      </c>
      <c r="C58" s="36">
        <f>E58*1</f>
        <v>302</v>
      </c>
      <c r="D58" s="28">
        <v>0</v>
      </c>
      <c r="E58" s="28">
        <v>302</v>
      </c>
      <c r="F58" s="47">
        <v>1</v>
      </c>
    </row>
    <row r="59" spans="1:6" x14ac:dyDescent="0.25">
      <c r="A59" s="35" t="s">
        <v>8</v>
      </c>
      <c r="B59" s="8" t="s">
        <v>471</v>
      </c>
      <c r="C59" s="28">
        <v>0</v>
      </c>
      <c r="D59" s="28">
        <v>0</v>
      </c>
      <c r="E59" s="28">
        <v>0</v>
      </c>
      <c r="F59" s="47">
        <v>0</v>
      </c>
    </row>
    <row r="60" spans="1:6" x14ac:dyDescent="0.25">
      <c r="A60" s="35" t="s">
        <v>8</v>
      </c>
      <c r="B60" s="8" t="s">
        <v>239</v>
      </c>
      <c r="C60" s="36">
        <f>E60*1</f>
        <v>464</v>
      </c>
      <c r="D60" s="28">
        <v>0</v>
      </c>
      <c r="E60" s="28">
        <v>464</v>
      </c>
      <c r="F60" s="47">
        <v>1</v>
      </c>
    </row>
    <row r="61" spans="1:6" x14ac:dyDescent="0.25">
      <c r="A61" s="35" t="s">
        <v>8</v>
      </c>
      <c r="B61" s="8" t="s">
        <v>237</v>
      </c>
      <c r="C61" s="36">
        <f>E61*0.7757</f>
        <v>749.32619999999997</v>
      </c>
      <c r="D61" s="28">
        <v>0</v>
      </c>
      <c r="E61" s="29">
        <v>966</v>
      </c>
      <c r="F61" s="47">
        <v>0.77569999999999995</v>
      </c>
    </row>
    <row r="62" spans="1:6" x14ac:dyDescent="0.25">
      <c r="A62" s="35" t="s">
        <v>8</v>
      </c>
      <c r="B62" s="8" t="s">
        <v>238</v>
      </c>
      <c r="C62" s="36">
        <f>E62*1</f>
        <v>390</v>
      </c>
      <c r="D62" s="28">
        <v>0</v>
      </c>
      <c r="E62" s="28">
        <v>390</v>
      </c>
      <c r="F62" s="47">
        <v>1</v>
      </c>
    </row>
    <row r="63" spans="1:6" x14ac:dyDescent="0.25">
      <c r="A63" s="35" t="s">
        <v>8</v>
      </c>
      <c r="B63" s="8" t="s">
        <v>34</v>
      </c>
      <c r="C63" s="28">
        <v>111</v>
      </c>
      <c r="D63" s="28">
        <v>19</v>
      </c>
      <c r="E63" s="28">
        <v>623</v>
      </c>
      <c r="F63" s="47">
        <f t="shared" ref="F63" si="6">(C63+D63)/E63</f>
        <v>0.2086677367576244</v>
      </c>
    </row>
    <row r="64" spans="1:6" x14ac:dyDescent="0.25">
      <c r="A64" s="35" t="s">
        <v>8</v>
      </c>
      <c r="B64" s="8" t="s">
        <v>240</v>
      </c>
      <c r="C64" s="36">
        <f>E64*0.732</f>
        <v>248.88</v>
      </c>
      <c r="D64" s="28">
        <v>0</v>
      </c>
      <c r="E64" s="28">
        <v>340</v>
      </c>
      <c r="F64" s="47">
        <v>0.73199999999999998</v>
      </c>
    </row>
    <row r="65" spans="1:6" x14ac:dyDescent="0.25">
      <c r="A65" s="35" t="s">
        <v>8</v>
      </c>
      <c r="B65" s="8" t="s">
        <v>241</v>
      </c>
      <c r="C65" s="36">
        <f>E65*0.6653</f>
        <v>164.99440000000001</v>
      </c>
      <c r="D65" s="28">
        <v>0</v>
      </c>
      <c r="E65" s="28">
        <v>248</v>
      </c>
      <c r="F65" s="47">
        <v>0.6653</v>
      </c>
    </row>
    <row r="66" spans="1:6" x14ac:dyDescent="0.25">
      <c r="A66" s="35" t="s">
        <v>8</v>
      </c>
      <c r="B66" s="8" t="s">
        <v>36</v>
      </c>
      <c r="C66" s="28">
        <v>35</v>
      </c>
      <c r="D66" s="28">
        <v>2</v>
      </c>
      <c r="E66" s="28">
        <v>311</v>
      </c>
      <c r="F66" s="47">
        <f t="shared" ref="F66:F89" si="7">(C66+D66)/E66</f>
        <v>0.11897106109324759</v>
      </c>
    </row>
    <row r="67" spans="1:6" x14ac:dyDescent="0.25">
      <c r="A67" s="35" t="s">
        <v>8</v>
      </c>
      <c r="B67" s="8" t="s">
        <v>35</v>
      </c>
      <c r="C67" s="28">
        <v>137</v>
      </c>
      <c r="D67" s="28">
        <v>19</v>
      </c>
      <c r="E67" s="28">
        <v>455</v>
      </c>
      <c r="F67" s="47">
        <f t="shared" si="7"/>
        <v>0.34285714285714286</v>
      </c>
    </row>
    <row r="68" spans="1:6" x14ac:dyDescent="0.25">
      <c r="A68" s="35" t="s">
        <v>8</v>
      </c>
      <c r="B68" s="8" t="s">
        <v>37</v>
      </c>
      <c r="C68" s="28">
        <v>47</v>
      </c>
      <c r="D68" s="28">
        <v>45</v>
      </c>
      <c r="E68" s="28">
        <v>274</v>
      </c>
      <c r="F68" s="47">
        <f t="shared" si="7"/>
        <v>0.33576642335766421</v>
      </c>
    </row>
    <row r="69" spans="1:6" x14ac:dyDescent="0.25">
      <c r="A69" s="35" t="s">
        <v>8</v>
      </c>
      <c r="B69" s="8" t="s">
        <v>38</v>
      </c>
      <c r="C69" s="28">
        <v>102</v>
      </c>
      <c r="D69" s="28">
        <v>24</v>
      </c>
      <c r="E69" s="28">
        <v>484</v>
      </c>
      <c r="F69" s="47">
        <f t="shared" si="7"/>
        <v>0.26033057851239672</v>
      </c>
    </row>
    <row r="70" spans="1:6" x14ac:dyDescent="0.25">
      <c r="A70" s="35" t="s">
        <v>8</v>
      </c>
      <c r="B70" s="8" t="s">
        <v>242</v>
      </c>
      <c r="C70" s="36">
        <f>E70*0.833</f>
        <v>339.86399999999998</v>
      </c>
      <c r="D70" s="28">
        <v>0</v>
      </c>
      <c r="E70" s="28">
        <v>408</v>
      </c>
      <c r="F70" s="47">
        <v>0.83299999999999996</v>
      </c>
    </row>
    <row r="71" spans="1:6" x14ac:dyDescent="0.25">
      <c r="A71" s="35" t="s">
        <v>8</v>
      </c>
      <c r="B71" s="8" t="s">
        <v>39</v>
      </c>
      <c r="C71" s="28">
        <v>68</v>
      </c>
      <c r="D71" s="28">
        <v>8</v>
      </c>
      <c r="E71" s="28">
        <v>494</v>
      </c>
      <c r="F71" s="47">
        <f t="shared" si="7"/>
        <v>0.15384615384615385</v>
      </c>
    </row>
    <row r="72" spans="1:6" x14ac:dyDescent="0.25">
      <c r="A72" s="35" t="s">
        <v>8</v>
      </c>
      <c r="B72" s="8" t="s">
        <v>40</v>
      </c>
      <c r="C72" s="28">
        <v>48</v>
      </c>
      <c r="D72" s="28">
        <v>14</v>
      </c>
      <c r="E72" s="28">
        <v>526</v>
      </c>
      <c r="F72" s="47">
        <f t="shared" si="7"/>
        <v>0.11787072243346007</v>
      </c>
    </row>
    <row r="73" spans="1:6" x14ac:dyDescent="0.25">
      <c r="A73" s="35" t="s">
        <v>8</v>
      </c>
      <c r="B73" s="8" t="s">
        <v>41</v>
      </c>
      <c r="C73" s="28">
        <v>155</v>
      </c>
      <c r="D73" s="28">
        <v>35</v>
      </c>
      <c r="E73" s="28">
        <v>529</v>
      </c>
      <c r="F73" s="47">
        <f t="shared" si="7"/>
        <v>0.35916824196597352</v>
      </c>
    </row>
    <row r="74" spans="1:6" x14ac:dyDescent="0.25">
      <c r="A74" s="35" t="s">
        <v>8</v>
      </c>
      <c r="B74" s="8" t="s">
        <v>42</v>
      </c>
      <c r="C74" s="28">
        <v>302</v>
      </c>
      <c r="D74" s="28">
        <v>50</v>
      </c>
      <c r="E74" s="28">
        <v>748</v>
      </c>
      <c r="F74" s="47">
        <f t="shared" si="7"/>
        <v>0.47058823529411764</v>
      </c>
    </row>
    <row r="75" spans="1:6" x14ac:dyDescent="0.25">
      <c r="A75" s="35" t="s">
        <v>8</v>
      </c>
      <c r="B75" s="8" t="s">
        <v>243</v>
      </c>
      <c r="C75" s="36">
        <f>E75*0.8178</f>
        <v>260.06040000000002</v>
      </c>
      <c r="D75" s="28">
        <v>0</v>
      </c>
      <c r="E75" s="28">
        <v>318</v>
      </c>
      <c r="F75" s="47">
        <v>0.81779999999999997</v>
      </c>
    </row>
    <row r="76" spans="1:6" x14ac:dyDescent="0.25">
      <c r="A76" s="35" t="s">
        <v>8</v>
      </c>
      <c r="B76" s="8" t="s">
        <v>43</v>
      </c>
      <c r="C76" s="28">
        <v>179</v>
      </c>
      <c r="D76" s="28">
        <v>38</v>
      </c>
      <c r="E76" s="28">
        <v>623</v>
      </c>
      <c r="F76" s="47">
        <f t="shared" si="7"/>
        <v>0.34831460674157305</v>
      </c>
    </row>
    <row r="77" spans="1:6" x14ac:dyDescent="0.25">
      <c r="A77" s="35" t="s">
        <v>8</v>
      </c>
      <c r="B77" s="16" t="s">
        <v>472</v>
      </c>
      <c r="C77" s="36">
        <v>140</v>
      </c>
      <c r="D77" s="28">
        <v>20</v>
      </c>
      <c r="E77" s="28">
        <v>437</v>
      </c>
      <c r="F77" s="47">
        <f t="shared" si="7"/>
        <v>0.36613272311212813</v>
      </c>
    </row>
    <row r="78" spans="1:6" x14ac:dyDescent="0.25">
      <c r="A78" s="35" t="s">
        <v>8</v>
      </c>
      <c r="B78" s="8" t="s">
        <v>44</v>
      </c>
      <c r="C78" s="28">
        <v>411</v>
      </c>
      <c r="D78" s="28">
        <v>91</v>
      </c>
      <c r="E78" s="29">
        <v>1567</v>
      </c>
      <c r="F78" s="47">
        <f t="shared" si="7"/>
        <v>0.32035737077217613</v>
      </c>
    </row>
    <row r="79" spans="1:6" x14ac:dyDescent="0.25">
      <c r="A79" s="35" t="s">
        <v>8</v>
      </c>
      <c r="B79" s="8" t="s">
        <v>45</v>
      </c>
      <c r="C79" s="28">
        <v>166</v>
      </c>
      <c r="D79" s="28">
        <v>27</v>
      </c>
      <c r="E79" s="29">
        <v>1347</v>
      </c>
      <c r="F79" s="47">
        <f t="shared" si="7"/>
        <v>0.14328136599851521</v>
      </c>
    </row>
    <row r="80" spans="1:6" x14ac:dyDescent="0.25">
      <c r="A80" s="35" t="s">
        <v>8</v>
      </c>
      <c r="B80" s="16" t="s">
        <v>344</v>
      </c>
      <c r="C80" s="36">
        <f>E80*0.6586</f>
        <v>248.95079999999999</v>
      </c>
      <c r="D80" s="28">
        <v>0</v>
      </c>
      <c r="E80" s="28">
        <v>378</v>
      </c>
      <c r="F80" s="47">
        <v>0.65859999999999996</v>
      </c>
    </row>
    <row r="81" spans="1:6" x14ac:dyDescent="0.25">
      <c r="A81" s="35" t="s">
        <v>8</v>
      </c>
      <c r="B81" s="8" t="s">
        <v>461</v>
      </c>
      <c r="C81" s="36">
        <v>165</v>
      </c>
      <c r="D81" s="28">
        <v>52</v>
      </c>
      <c r="E81" s="28">
        <v>430</v>
      </c>
      <c r="F81" s="47">
        <f t="shared" si="7"/>
        <v>0.50465116279069766</v>
      </c>
    </row>
    <row r="82" spans="1:6" x14ac:dyDescent="0.25">
      <c r="A82" s="35" t="s">
        <v>8</v>
      </c>
      <c r="B82" s="16" t="s">
        <v>244</v>
      </c>
      <c r="C82" s="36">
        <f>E82*0.7131</f>
        <v>234.60989999999998</v>
      </c>
      <c r="D82" s="28">
        <v>0</v>
      </c>
      <c r="E82" s="28">
        <v>329</v>
      </c>
      <c r="F82" s="47">
        <v>0.71309999999999996</v>
      </c>
    </row>
    <row r="83" spans="1:6" x14ac:dyDescent="0.25">
      <c r="A83" s="35" t="s">
        <v>8</v>
      </c>
      <c r="B83" s="8" t="s">
        <v>46</v>
      </c>
      <c r="C83" s="28">
        <v>83</v>
      </c>
      <c r="D83" s="28">
        <v>15</v>
      </c>
      <c r="E83" s="28">
        <v>392</v>
      </c>
      <c r="F83" s="47">
        <f t="shared" si="7"/>
        <v>0.25</v>
      </c>
    </row>
    <row r="84" spans="1:6" x14ac:dyDescent="0.25">
      <c r="A84" s="35" t="s">
        <v>8</v>
      </c>
      <c r="B84" s="8" t="s">
        <v>462</v>
      </c>
      <c r="C84" s="36">
        <v>120</v>
      </c>
      <c r="D84" s="28">
        <v>39</v>
      </c>
      <c r="E84" s="28">
        <v>374</v>
      </c>
      <c r="F84" s="47">
        <f t="shared" si="7"/>
        <v>0.42513368983957217</v>
      </c>
    </row>
    <row r="85" spans="1:6" x14ac:dyDescent="0.25">
      <c r="A85" s="35" t="s">
        <v>8</v>
      </c>
      <c r="B85" s="8" t="s">
        <v>47</v>
      </c>
      <c r="C85" s="28">
        <v>173</v>
      </c>
      <c r="D85" s="28">
        <v>28</v>
      </c>
      <c r="E85" s="28">
        <v>411</v>
      </c>
      <c r="F85" s="47">
        <f t="shared" si="7"/>
        <v>0.48905109489051096</v>
      </c>
    </row>
    <row r="86" spans="1:6" x14ac:dyDescent="0.25">
      <c r="A86" s="35" t="s">
        <v>8</v>
      </c>
      <c r="B86" s="8" t="s">
        <v>48</v>
      </c>
      <c r="C86" s="28">
        <v>79</v>
      </c>
      <c r="D86" s="28">
        <v>80</v>
      </c>
      <c r="E86" s="28">
        <v>454</v>
      </c>
      <c r="F86" s="47">
        <f t="shared" si="7"/>
        <v>0.35022026431718062</v>
      </c>
    </row>
    <row r="87" spans="1:6" x14ac:dyDescent="0.25">
      <c r="A87" s="35" t="s">
        <v>8</v>
      </c>
      <c r="B87" s="8" t="s">
        <v>49</v>
      </c>
      <c r="C87" s="28">
        <v>65</v>
      </c>
      <c r="D87" s="28">
        <v>62</v>
      </c>
      <c r="E87" s="28">
        <v>365</v>
      </c>
      <c r="F87" s="47">
        <f t="shared" si="7"/>
        <v>0.34794520547945207</v>
      </c>
    </row>
    <row r="88" spans="1:6" x14ac:dyDescent="0.25">
      <c r="A88" s="35" t="s">
        <v>8</v>
      </c>
      <c r="B88" s="8" t="s">
        <v>245</v>
      </c>
      <c r="C88" s="36">
        <f>E88*0.6069</f>
        <v>282.20850000000002</v>
      </c>
      <c r="D88" s="28">
        <v>0</v>
      </c>
      <c r="E88" s="28">
        <v>465</v>
      </c>
      <c r="F88" s="47">
        <v>0.6069</v>
      </c>
    </row>
    <row r="89" spans="1:6" x14ac:dyDescent="0.25">
      <c r="A89" s="35" t="s">
        <v>8</v>
      </c>
      <c r="B89" s="8" t="s">
        <v>50</v>
      </c>
      <c r="C89" s="28">
        <v>726</v>
      </c>
      <c r="D89" s="28">
        <v>95</v>
      </c>
      <c r="E89" s="29">
        <v>1779</v>
      </c>
      <c r="F89" s="47">
        <f t="shared" si="7"/>
        <v>0.46149522203485105</v>
      </c>
    </row>
    <row r="90" spans="1:6" x14ac:dyDescent="0.25">
      <c r="A90" s="35" t="s">
        <v>8</v>
      </c>
      <c r="B90" s="16" t="s">
        <v>246</v>
      </c>
      <c r="C90" s="36">
        <f>E90*0.8355</f>
        <v>78.537000000000006</v>
      </c>
      <c r="D90" s="28">
        <v>0</v>
      </c>
      <c r="E90" s="50">
        <v>94</v>
      </c>
      <c r="F90" s="47">
        <v>0.83550000000000002</v>
      </c>
    </row>
    <row r="91" spans="1:6" x14ac:dyDescent="0.25">
      <c r="A91" s="35" t="s">
        <v>8</v>
      </c>
      <c r="B91" s="8" t="s">
        <v>247</v>
      </c>
      <c r="C91" s="36">
        <f>E91*1</f>
        <v>361</v>
      </c>
      <c r="D91" s="28">
        <v>0</v>
      </c>
      <c r="E91" s="28">
        <v>361</v>
      </c>
      <c r="F91" s="47">
        <v>1</v>
      </c>
    </row>
    <row r="92" spans="1:6" x14ac:dyDescent="0.25">
      <c r="A92" s="35" t="s">
        <v>8</v>
      </c>
      <c r="B92" s="8" t="s">
        <v>248</v>
      </c>
      <c r="C92" s="36">
        <f>E92*1</f>
        <v>359</v>
      </c>
      <c r="D92" s="28">
        <v>0</v>
      </c>
      <c r="E92" s="28">
        <v>359</v>
      </c>
      <c r="F92" s="47">
        <v>1</v>
      </c>
    </row>
    <row r="93" spans="1:6" x14ac:dyDescent="0.25">
      <c r="A93" s="35" t="s">
        <v>8</v>
      </c>
      <c r="B93" s="16" t="s">
        <v>249</v>
      </c>
      <c r="C93" s="36">
        <f>E93*0.9138</f>
        <v>277.79519999999997</v>
      </c>
      <c r="D93" s="28">
        <v>0</v>
      </c>
      <c r="E93" s="28">
        <v>304</v>
      </c>
      <c r="F93" s="47">
        <v>0.91379999999999995</v>
      </c>
    </row>
    <row r="94" spans="1:6" x14ac:dyDescent="0.25">
      <c r="A94" s="35" t="s">
        <v>8</v>
      </c>
      <c r="B94" s="8" t="s">
        <v>250</v>
      </c>
      <c r="C94" s="36">
        <f>E94*1</f>
        <v>383</v>
      </c>
      <c r="D94" s="28">
        <v>0</v>
      </c>
      <c r="E94" s="28">
        <v>383</v>
      </c>
      <c r="F94" s="47">
        <v>1</v>
      </c>
    </row>
    <row r="95" spans="1:6" x14ac:dyDescent="0.25">
      <c r="A95" s="39" t="s">
        <v>408</v>
      </c>
      <c r="B95" s="6" t="s">
        <v>397</v>
      </c>
      <c r="C95" s="37">
        <f>SUM(C96:C98)</f>
        <v>250.6275</v>
      </c>
      <c r="D95" s="37">
        <f t="shared" ref="D95:E95" si="8">SUM(D96:D98)</f>
        <v>0</v>
      </c>
      <c r="E95" s="37">
        <f t="shared" si="8"/>
        <v>310</v>
      </c>
      <c r="F95" s="45">
        <f t="shared" ref="F95:F124" si="9">(C95+D95)/E95</f>
        <v>0.80847580645161288</v>
      </c>
    </row>
    <row r="96" spans="1:6" x14ac:dyDescent="0.25">
      <c r="A96" s="35" t="s">
        <v>51</v>
      </c>
      <c r="B96" s="8" t="s">
        <v>251</v>
      </c>
      <c r="C96" s="12">
        <f>E96*0.7082</f>
        <v>57.364200000000004</v>
      </c>
      <c r="D96" s="12">
        <v>0</v>
      </c>
      <c r="E96" s="12">
        <v>81</v>
      </c>
      <c r="F96" s="49">
        <v>0.70820000000000005</v>
      </c>
    </row>
    <row r="97" spans="1:6" x14ac:dyDescent="0.25">
      <c r="A97" s="35" t="s">
        <v>51</v>
      </c>
      <c r="B97" s="8" t="s">
        <v>252</v>
      </c>
      <c r="C97" s="12">
        <f>E97*0.6589</f>
        <v>44.805199999999999</v>
      </c>
      <c r="D97" s="12">
        <v>0</v>
      </c>
      <c r="E97" s="12">
        <v>68</v>
      </c>
      <c r="F97" s="49">
        <v>0.65890000000000004</v>
      </c>
    </row>
    <row r="98" spans="1:6" x14ac:dyDescent="0.25">
      <c r="A98" s="35" t="s">
        <v>51</v>
      </c>
      <c r="B98" s="8" t="s">
        <v>253</v>
      </c>
      <c r="C98" s="12">
        <f>E98*0.9221</f>
        <v>148.4581</v>
      </c>
      <c r="D98" s="12">
        <v>0</v>
      </c>
      <c r="E98" s="12">
        <v>161</v>
      </c>
      <c r="F98" s="49">
        <v>0.92210000000000003</v>
      </c>
    </row>
    <row r="99" spans="1:6" x14ac:dyDescent="0.25">
      <c r="A99" s="39" t="s">
        <v>409</v>
      </c>
      <c r="B99" s="6" t="s">
        <v>397</v>
      </c>
      <c r="C99" s="7">
        <f>SUM(C100:C114)</f>
        <v>1789.356</v>
      </c>
      <c r="D99" s="7">
        <f>SUM(D100:D114)</f>
        <v>0</v>
      </c>
      <c r="E99" s="7">
        <f>SUM(E100:E114)</f>
        <v>1857</v>
      </c>
      <c r="F99" s="45">
        <f t="shared" si="9"/>
        <v>0.96357350565428113</v>
      </c>
    </row>
    <row r="100" spans="1:6" x14ac:dyDescent="0.25">
      <c r="A100" s="35" t="s">
        <v>52</v>
      </c>
      <c r="B100" s="8" t="s">
        <v>345</v>
      </c>
      <c r="C100" s="36">
        <f>E100*1</f>
        <v>119</v>
      </c>
      <c r="D100" s="12">
        <v>0</v>
      </c>
      <c r="E100" s="12">
        <v>119</v>
      </c>
      <c r="F100" s="49">
        <v>1</v>
      </c>
    </row>
    <row r="101" spans="1:6" x14ac:dyDescent="0.25">
      <c r="A101" s="35" t="s">
        <v>52</v>
      </c>
      <c r="B101" s="8" t="s">
        <v>346</v>
      </c>
      <c r="C101" s="36">
        <f t="shared" ref="C101:C114" si="10">E101*1</f>
        <v>147</v>
      </c>
      <c r="D101" s="12">
        <v>0</v>
      </c>
      <c r="E101" s="12">
        <v>147</v>
      </c>
      <c r="F101" s="49">
        <v>1</v>
      </c>
    </row>
    <row r="102" spans="1:6" x14ac:dyDescent="0.25">
      <c r="A102" s="35" t="s">
        <v>52</v>
      </c>
      <c r="B102" s="8" t="s">
        <v>347</v>
      </c>
      <c r="C102" s="36">
        <f t="shared" si="10"/>
        <v>157</v>
      </c>
      <c r="D102" s="12">
        <v>0</v>
      </c>
      <c r="E102" s="12">
        <v>157</v>
      </c>
      <c r="F102" s="49">
        <v>1</v>
      </c>
    </row>
    <row r="103" spans="1:6" x14ac:dyDescent="0.25">
      <c r="A103" s="35" t="s">
        <v>52</v>
      </c>
      <c r="B103" s="8" t="s">
        <v>348</v>
      </c>
      <c r="C103" s="36">
        <f t="shared" si="10"/>
        <v>18</v>
      </c>
      <c r="D103" s="12">
        <v>0</v>
      </c>
      <c r="E103" s="12">
        <v>18</v>
      </c>
      <c r="F103" s="49">
        <v>1</v>
      </c>
    </row>
    <row r="104" spans="1:6" x14ac:dyDescent="0.25">
      <c r="A104" s="35" t="s">
        <v>52</v>
      </c>
      <c r="B104" s="8" t="s">
        <v>349</v>
      </c>
      <c r="C104" s="36">
        <f t="shared" si="10"/>
        <v>173</v>
      </c>
      <c r="D104" s="12">
        <v>0</v>
      </c>
      <c r="E104" s="12">
        <v>173</v>
      </c>
      <c r="F104" s="49">
        <v>1</v>
      </c>
    </row>
    <row r="105" spans="1:6" x14ac:dyDescent="0.25">
      <c r="A105" s="35" t="s">
        <v>52</v>
      </c>
      <c r="B105" s="8" t="s">
        <v>350</v>
      </c>
      <c r="C105" s="36">
        <f t="shared" si="10"/>
        <v>242</v>
      </c>
      <c r="D105" s="12">
        <v>0</v>
      </c>
      <c r="E105" s="12">
        <v>242</v>
      </c>
      <c r="F105" s="49">
        <v>1</v>
      </c>
    </row>
    <row r="106" spans="1:6" x14ac:dyDescent="0.25">
      <c r="A106" s="35" t="s">
        <v>52</v>
      </c>
      <c r="B106" s="8" t="s">
        <v>351</v>
      </c>
      <c r="C106" s="36">
        <f t="shared" si="10"/>
        <v>85</v>
      </c>
      <c r="D106" s="12">
        <v>0</v>
      </c>
      <c r="E106" s="12">
        <v>85</v>
      </c>
      <c r="F106" s="49">
        <v>1</v>
      </c>
    </row>
    <row r="107" spans="1:6" x14ac:dyDescent="0.25">
      <c r="A107" s="35" t="s">
        <v>52</v>
      </c>
      <c r="B107" s="8" t="s">
        <v>352</v>
      </c>
      <c r="C107" s="36">
        <f t="shared" si="10"/>
        <v>91</v>
      </c>
      <c r="D107" s="12">
        <v>0</v>
      </c>
      <c r="E107" s="12">
        <v>91</v>
      </c>
      <c r="F107" s="49">
        <v>1</v>
      </c>
    </row>
    <row r="108" spans="1:6" x14ac:dyDescent="0.25">
      <c r="A108" s="35" t="s">
        <v>52</v>
      </c>
      <c r="B108" s="8" t="s">
        <v>353</v>
      </c>
      <c r="C108" s="12">
        <f>E108*0.8696</f>
        <v>39.132000000000005</v>
      </c>
      <c r="D108" s="12">
        <v>0</v>
      </c>
      <c r="E108" s="12">
        <v>45</v>
      </c>
      <c r="F108" s="49">
        <v>0.86939999999999995</v>
      </c>
    </row>
    <row r="109" spans="1:6" x14ac:dyDescent="0.25">
      <c r="A109" s="35" t="s">
        <v>52</v>
      </c>
      <c r="B109" s="8" t="s">
        <v>354</v>
      </c>
      <c r="C109" s="36">
        <f t="shared" si="10"/>
        <v>86</v>
      </c>
      <c r="D109" s="12">
        <v>0</v>
      </c>
      <c r="E109" s="12">
        <v>86</v>
      </c>
      <c r="F109" s="49">
        <v>1</v>
      </c>
    </row>
    <row r="110" spans="1:6" x14ac:dyDescent="0.25">
      <c r="A110" s="35" t="s">
        <v>52</v>
      </c>
      <c r="B110" s="8" t="s">
        <v>355</v>
      </c>
      <c r="C110" s="36">
        <f t="shared" si="10"/>
        <v>188</v>
      </c>
      <c r="D110" s="12">
        <v>0</v>
      </c>
      <c r="E110" s="12">
        <v>188</v>
      </c>
      <c r="F110" s="49">
        <v>1</v>
      </c>
    </row>
    <row r="111" spans="1:6" x14ac:dyDescent="0.25">
      <c r="A111" s="35" t="s">
        <v>52</v>
      </c>
      <c r="B111" s="8" t="s">
        <v>356</v>
      </c>
      <c r="C111" s="36">
        <f t="shared" si="10"/>
        <v>205</v>
      </c>
      <c r="D111" s="12">
        <v>0</v>
      </c>
      <c r="E111" s="12">
        <v>205</v>
      </c>
      <c r="F111" s="49">
        <v>1</v>
      </c>
    </row>
    <row r="112" spans="1:6" x14ac:dyDescent="0.25">
      <c r="A112" s="35" t="s">
        <v>52</v>
      </c>
      <c r="B112" s="8" t="s">
        <v>357</v>
      </c>
      <c r="C112" s="12">
        <f>E112*0.688</f>
        <v>136.22399999999999</v>
      </c>
      <c r="D112" s="12">
        <v>0</v>
      </c>
      <c r="E112" s="12">
        <v>198</v>
      </c>
      <c r="F112" s="49">
        <v>0.68799999999999994</v>
      </c>
    </row>
    <row r="113" spans="1:9" x14ac:dyDescent="0.25">
      <c r="A113" s="35" t="s">
        <v>52</v>
      </c>
      <c r="B113" s="8" t="s">
        <v>358</v>
      </c>
      <c r="C113" s="36">
        <f t="shared" si="10"/>
        <v>51</v>
      </c>
      <c r="D113" s="12">
        <v>0</v>
      </c>
      <c r="E113" s="12">
        <v>51</v>
      </c>
      <c r="F113" s="49">
        <v>1</v>
      </c>
    </row>
    <row r="114" spans="1:9" x14ac:dyDescent="0.25">
      <c r="A114" s="35" t="s">
        <v>52</v>
      </c>
      <c r="B114" s="8" t="s">
        <v>359</v>
      </c>
      <c r="C114" s="36">
        <f t="shared" si="10"/>
        <v>52</v>
      </c>
      <c r="D114" s="12">
        <v>0</v>
      </c>
      <c r="E114" s="12">
        <v>52</v>
      </c>
      <c r="F114" s="49">
        <v>1</v>
      </c>
    </row>
    <row r="115" spans="1:9" x14ac:dyDescent="0.25">
      <c r="A115" s="39" t="s">
        <v>410</v>
      </c>
      <c r="B115" s="6" t="s">
        <v>397</v>
      </c>
      <c r="C115" s="13">
        <f>SUM(C116:C117)</f>
        <v>116.85599999999999</v>
      </c>
      <c r="D115" s="13">
        <f>SUM(D116:D117)</f>
        <v>0</v>
      </c>
      <c r="E115" s="13">
        <f>SUM(E116:E117)</f>
        <v>125</v>
      </c>
      <c r="F115" s="45">
        <f t="shared" si="9"/>
        <v>0.9348479999999999</v>
      </c>
    </row>
    <row r="116" spans="1:9" x14ac:dyDescent="0.25">
      <c r="A116" s="40" t="s">
        <v>53</v>
      </c>
      <c r="B116" s="16" t="s">
        <v>332</v>
      </c>
      <c r="C116" s="36">
        <f t="shared" ref="C116" si="11">E116*1</f>
        <v>45</v>
      </c>
      <c r="D116" s="28">
        <v>0</v>
      </c>
      <c r="E116" s="28">
        <v>45</v>
      </c>
      <c r="F116" s="49">
        <v>1</v>
      </c>
    </row>
    <row r="117" spans="1:9" x14ac:dyDescent="0.25">
      <c r="A117" s="40" t="s">
        <v>53</v>
      </c>
      <c r="B117" s="16" t="s">
        <v>333</v>
      </c>
      <c r="C117" s="36">
        <f>E117*0.8982</f>
        <v>71.855999999999995</v>
      </c>
      <c r="D117" s="28">
        <v>0</v>
      </c>
      <c r="E117" s="28">
        <v>80</v>
      </c>
      <c r="F117" s="49">
        <v>0.8982</v>
      </c>
    </row>
    <row r="118" spans="1:9" x14ac:dyDescent="0.25">
      <c r="A118" s="39" t="s">
        <v>411</v>
      </c>
      <c r="B118" s="6" t="s">
        <v>397</v>
      </c>
      <c r="C118" s="7">
        <f>SUM(C119:C120)</f>
        <v>64.586999999999989</v>
      </c>
      <c r="D118" s="7">
        <f>SUM(D119:D120)</f>
        <v>0</v>
      </c>
      <c r="E118" s="7">
        <f>SUM(E119:E120)</f>
        <v>65</v>
      </c>
      <c r="F118" s="45">
        <f t="shared" si="9"/>
        <v>0.99364615384615362</v>
      </c>
    </row>
    <row r="119" spans="1:9" x14ac:dyDescent="0.25">
      <c r="A119" s="35" t="s">
        <v>54</v>
      </c>
      <c r="B119" s="62" t="s">
        <v>494</v>
      </c>
      <c r="C119" s="36">
        <f t="shared" ref="C119" si="12">E119*1</f>
        <v>30</v>
      </c>
      <c r="D119" s="28">
        <v>0</v>
      </c>
      <c r="E119" s="28">
        <v>30</v>
      </c>
      <c r="F119" s="49">
        <v>1</v>
      </c>
    </row>
    <row r="120" spans="1:9" s="14" customFormat="1" x14ac:dyDescent="0.25">
      <c r="A120" s="35" t="s">
        <v>54</v>
      </c>
      <c r="B120" s="62" t="s">
        <v>495</v>
      </c>
      <c r="C120" s="36">
        <f>E120*0.9882</f>
        <v>34.586999999999996</v>
      </c>
      <c r="D120" s="28">
        <v>0</v>
      </c>
      <c r="E120" s="28">
        <v>35</v>
      </c>
      <c r="F120" s="49">
        <v>0.98819999999999997</v>
      </c>
      <c r="G120" s="15"/>
      <c r="I120" s="15"/>
    </row>
    <row r="121" spans="1:9" s="14" customFormat="1" x14ac:dyDescent="0.25">
      <c r="A121" s="35" t="s">
        <v>54</v>
      </c>
      <c r="B121" s="8" t="s">
        <v>360</v>
      </c>
      <c r="C121" s="28">
        <v>0</v>
      </c>
      <c r="D121" s="28">
        <v>0</v>
      </c>
      <c r="E121" s="28">
        <v>0</v>
      </c>
      <c r="F121" s="49">
        <v>0</v>
      </c>
      <c r="G121" s="15"/>
      <c r="I121" s="15"/>
    </row>
    <row r="122" spans="1:9" x14ac:dyDescent="0.25">
      <c r="A122" s="39" t="s">
        <v>412</v>
      </c>
      <c r="B122" s="6" t="s">
        <v>397</v>
      </c>
      <c r="C122" s="7">
        <f>SUM(C123:C123)</f>
        <v>121</v>
      </c>
      <c r="D122" s="7">
        <f>SUM(D123:D123)</f>
        <v>11</v>
      </c>
      <c r="E122" s="7">
        <f>SUM(E123:E123)</f>
        <v>249</v>
      </c>
      <c r="F122" s="45">
        <f t="shared" si="9"/>
        <v>0.53012048192771088</v>
      </c>
    </row>
    <row r="123" spans="1:9" x14ac:dyDescent="0.25">
      <c r="A123" s="35" t="s">
        <v>55</v>
      </c>
      <c r="B123" s="8" t="s">
        <v>56</v>
      </c>
      <c r="C123" s="24">
        <v>121</v>
      </c>
      <c r="D123" s="24">
        <v>11</v>
      </c>
      <c r="E123" s="24">
        <v>249</v>
      </c>
      <c r="F123" s="49">
        <f t="shared" si="9"/>
        <v>0.53012048192771088</v>
      </c>
    </row>
    <row r="124" spans="1:9" x14ac:dyDescent="0.25">
      <c r="A124" s="39" t="s">
        <v>413</v>
      </c>
      <c r="B124" s="6" t="s">
        <v>397</v>
      </c>
      <c r="C124" s="7">
        <f>SUM(C125:C126)</f>
        <v>245.64599999999999</v>
      </c>
      <c r="D124" s="7">
        <f>SUM(D125:D126)</f>
        <v>0</v>
      </c>
      <c r="E124" s="7">
        <f>SUM(E125:E126)</f>
        <v>334</v>
      </c>
      <c r="F124" s="45">
        <f t="shared" si="9"/>
        <v>0.73546706586826338</v>
      </c>
    </row>
    <row r="125" spans="1:9" x14ac:dyDescent="0.25">
      <c r="A125" s="35" t="s">
        <v>57</v>
      </c>
      <c r="B125" s="8" t="s">
        <v>463</v>
      </c>
      <c r="C125" s="36">
        <f>E125*0.7899</f>
        <v>111.3759</v>
      </c>
      <c r="D125" s="28">
        <v>0</v>
      </c>
      <c r="E125" s="28">
        <v>141</v>
      </c>
      <c r="F125" s="49">
        <v>0.78990000000000005</v>
      </c>
    </row>
    <row r="126" spans="1:9" x14ac:dyDescent="0.25">
      <c r="A126" s="35" t="s">
        <v>57</v>
      </c>
      <c r="B126" s="8" t="s">
        <v>464</v>
      </c>
      <c r="C126" s="36">
        <f>E126*0.6957</f>
        <v>134.27009999999999</v>
      </c>
      <c r="D126" s="28">
        <v>0</v>
      </c>
      <c r="E126" s="28">
        <v>193</v>
      </c>
      <c r="F126" s="49">
        <v>0.69569999999999999</v>
      </c>
    </row>
    <row r="127" spans="1:9" x14ac:dyDescent="0.25">
      <c r="A127" s="39" t="s">
        <v>414</v>
      </c>
      <c r="B127" s="6" t="s">
        <v>397</v>
      </c>
      <c r="C127" s="7">
        <f>SUM(C128:C129)</f>
        <v>178</v>
      </c>
      <c r="D127" s="7">
        <f>SUM(D128:D129)</f>
        <v>26</v>
      </c>
      <c r="E127" s="7">
        <f>SUM(E128:E129)</f>
        <v>271</v>
      </c>
      <c r="F127" s="45">
        <f t="shared" ref="F127:F190" si="13">(C127+D127)/E127</f>
        <v>0.75276752767527677</v>
      </c>
    </row>
    <row r="128" spans="1:9" x14ac:dyDescent="0.25">
      <c r="A128" s="35" t="s">
        <v>58</v>
      </c>
      <c r="B128" s="8" t="s">
        <v>59</v>
      </c>
      <c r="C128" s="12">
        <v>126</v>
      </c>
      <c r="D128" s="12">
        <v>22</v>
      </c>
      <c r="E128" s="12">
        <v>193</v>
      </c>
      <c r="F128" s="49">
        <f t="shared" si="13"/>
        <v>0.76683937823834192</v>
      </c>
    </row>
    <row r="129" spans="1:6" x14ac:dyDescent="0.25">
      <c r="A129" s="35" t="s">
        <v>58</v>
      </c>
      <c r="B129" s="8" t="s">
        <v>60</v>
      </c>
      <c r="C129" s="12">
        <v>52</v>
      </c>
      <c r="D129" s="12">
        <v>4</v>
      </c>
      <c r="E129" s="12">
        <v>78</v>
      </c>
      <c r="F129" s="49">
        <f t="shared" si="13"/>
        <v>0.71794871794871795</v>
      </c>
    </row>
    <row r="130" spans="1:6" x14ac:dyDescent="0.25">
      <c r="A130" s="39" t="s">
        <v>415</v>
      </c>
      <c r="B130" s="6" t="s">
        <v>397</v>
      </c>
      <c r="C130" s="7">
        <f>SUM(C131:C133)</f>
        <v>160</v>
      </c>
      <c r="D130" s="7">
        <f>SUM(D131:D133)</f>
        <v>71</v>
      </c>
      <c r="E130" s="7">
        <f>SUM(E131:E133)</f>
        <v>686</v>
      </c>
      <c r="F130" s="45">
        <f t="shared" si="13"/>
        <v>0.33673469387755101</v>
      </c>
    </row>
    <row r="131" spans="1:6" x14ac:dyDescent="0.25">
      <c r="A131" s="35" t="s">
        <v>61</v>
      </c>
      <c r="B131" s="8" t="s">
        <v>62</v>
      </c>
      <c r="C131" s="12">
        <v>85</v>
      </c>
      <c r="D131" s="12">
        <v>44</v>
      </c>
      <c r="E131" s="12">
        <v>368</v>
      </c>
      <c r="F131" s="49">
        <f t="shared" si="13"/>
        <v>0.35054347826086957</v>
      </c>
    </row>
    <row r="132" spans="1:6" x14ac:dyDescent="0.25">
      <c r="A132" s="35" t="s">
        <v>61</v>
      </c>
      <c r="B132" s="8" t="s">
        <v>452</v>
      </c>
      <c r="C132" s="12">
        <v>37</v>
      </c>
      <c r="D132" s="12">
        <v>12</v>
      </c>
      <c r="E132" s="12">
        <v>150</v>
      </c>
      <c r="F132" s="49">
        <f t="shared" si="13"/>
        <v>0.32666666666666666</v>
      </c>
    </row>
    <row r="133" spans="1:6" x14ac:dyDescent="0.25">
      <c r="A133" s="35" t="s">
        <v>61</v>
      </c>
      <c r="B133" s="8" t="s">
        <v>453</v>
      </c>
      <c r="C133" s="12">
        <v>38</v>
      </c>
      <c r="D133" s="12">
        <v>15</v>
      </c>
      <c r="E133" s="12">
        <v>168</v>
      </c>
      <c r="F133" s="49">
        <f t="shared" si="13"/>
        <v>0.31547619047619047</v>
      </c>
    </row>
    <row r="134" spans="1:6" x14ac:dyDescent="0.25">
      <c r="A134" s="39" t="s">
        <v>416</v>
      </c>
      <c r="B134" s="6" t="s">
        <v>397</v>
      </c>
      <c r="C134" s="7">
        <f>SUM(C135:C136)</f>
        <v>472</v>
      </c>
      <c r="D134" s="7">
        <f>SUM(D135:D136)</f>
        <v>0</v>
      </c>
      <c r="E134" s="7">
        <f>SUM(E135:E136)</f>
        <v>472</v>
      </c>
      <c r="F134" s="45">
        <f t="shared" si="13"/>
        <v>1</v>
      </c>
    </row>
    <row r="135" spans="1:6" x14ac:dyDescent="0.25">
      <c r="A135" s="35" t="s">
        <v>63</v>
      </c>
      <c r="B135" s="8" t="s">
        <v>254</v>
      </c>
      <c r="C135" s="36">
        <f t="shared" ref="C135:C136" si="14">E135*1</f>
        <v>242</v>
      </c>
      <c r="D135" s="12">
        <v>0</v>
      </c>
      <c r="E135" s="12">
        <v>242</v>
      </c>
      <c r="F135" s="49">
        <v>1</v>
      </c>
    </row>
    <row r="136" spans="1:6" x14ac:dyDescent="0.25">
      <c r="A136" s="35" t="s">
        <v>63</v>
      </c>
      <c r="B136" s="8" t="s">
        <v>255</v>
      </c>
      <c r="C136" s="36">
        <f t="shared" si="14"/>
        <v>230</v>
      </c>
      <c r="D136" s="12">
        <v>0</v>
      </c>
      <c r="E136" s="12">
        <v>230</v>
      </c>
      <c r="F136" s="49">
        <v>1</v>
      </c>
    </row>
    <row r="137" spans="1:6" x14ac:dyDescent="0.25">
      <c r="A137" s="39" t="s">
        <v>417</v>
      </c>
      <c r="B137" s="6" t="s">
        <v>397</v>
      </c>
      <c r="C137" s="7">
        <f>SUM(C138:C170)</f>
        <v>3600</v>
      </c>
      <c r="D137" s="7">
        <f>SUM(D138:D170)</f>
        <v>963</v>
      </c>
      <c r="E137" s="7">
        <f>SUM(E138:E170)</f>
        <v>12315</v>
      </c>
      <c r="F137" s="45">
        <f t="shared" si="13"/>
        <v>0.37052375152253347</v>
      </c>
    </row>
    <row r="138" spans="1:6" x14ac:dyDescent="0.25">
      <c r="A138" s="35" t="s">
        <v>64</v>
      </c>
      <c r="B138" s="8" t="s">
        <v>65</v>
      </c>
      <c r="C138" s="28">
        <v>32</v>
      </c>
      <c r="D138" s="28">
        <v>30</v>
      </c>
      <c r="E138" s="28">
        <v>232</v>
      </c>
      <c r="F138" s="49">
        <f t="shared" si="13"/>
        <v>0.26724137931034481</v>
      </c>
    </row>
    <row r="139" spans="1:6" x14ac:dyDescent="0.25">
      <c r="A139" s="35" t="s">
        <v>64</v>
      </c>
      <c r="B139" s="8" t="s">
        <v>66</v>
      </c>
      <c r="C139" s="28">
        <v>186</v>
      </c>
      <c r="D139" s="28">
        <v>34</v>
      </c>
      <c r="E139" s="28">
        <v>400</v>
      </c>
      <c r="F139" s="49">
        <f t="shared" si="13"/>
        <v>0.55000000000000004</v>
      </c>
    </row>
    <row r="140" spans="1:6" x14ac:dyDescent="0.25">
      <c r="A140" s="35" t="s">
        <v>64</v>
      </c>
      <c r="B140" s="8" t="s">
        <v>67</v>
      </c>
      <c r="C140" s="28">
        <v>137</v>
      </c>
      <c r="D140" s="28">
        <v>123</v>
      </c>
      <c r="E140" s="28">
        <v>419</v>
      </c>
      <c r="F140" s="49">
        <f t="shared" si="13"/>
        <v>0.62052505966587113</v>
      </c>
    </row>
    <row r="141" spans="1:6" x14ac:dyDescent="0.25">
      <c r="A141" s="35" t="s">
        <v>64</v>
      </c>
      <c r="B141" s="8" t="s">
        <v>68</v>
      </c>
      <c r="C141" s="28">
        <v>85</v>
      </c>
      <c r="D141" s="28">
        <v>24</v>
      </c>
      <c r="E141" s="28">
        <v>406</v>
      </c>
      <c r="F141" s="49">
        <f t="shared" si="13"/>
        <v>0.26847290640394089</v>
      </c>
    </row>
    <row r="142" spans="1:6" x14ac:dyDescent="0.25">
      <c r="A142" s="35" t="s">
        <v>64</v>
      </c>
      <c r="B142" s="8" t="s">
        <v>69</v>
      </c>
      <c r="C142" s="28">
        <v>60</v>
      </c>
      <c r="D142" s="28">
        <v>24</v>
      </c>
      <c r="E142" s="28">
        <v>352</v>
      </c>
      <c r="F142" s="49">
        <f t="shared" si="13"/>
        <v>0.23863636363636365</v>
      </c>
    </row>
    <row r="143" spans="1:6" x14ac:dyDescent="0.25">
      <c r="A143" s="35" t="s">
        <v>64</v>
      </c>
      <c r="B143" s="8" t="s">
        <v>70</v>
      </c>
      <c r="C143" s="28">
        <v>8</v>
      </c>
      <c r="D143" s="28">
        <v>2</v>
      </c>
      <c r="E143" s="28">
        <v>21</v>
      </c>
      <c r="F143" s="49">
        <f t="shared" ref="F143:F170" si="15">(C143+D143)/E143</f>
        <v>0.47619047619047616</v>
      </c>
    </row>
    <row r="144" spans="1:6" x14ac:dyDescent="0.25">
      <c r="A144" s="35" t="s">
        <v>64</v>
      </c>
      <c r="B144" s="8" t="s">
        <v>71</v>
      </c>
      <c r="C144" s="28">
        <v>39</v>
      </c>
      <c r="D144" s="28">
        <v>31</v>
      </c>
      <c r="E144" s="28">
        <v>282</v>
      </c>
      <c r="F144" s="49">
        <f t="shared" si="15"/>
        <v>0.24822695035460993</v>
      </c>
    </row>
    <row r="145" spans="1:6" x14ac:dyDescent="0.25">
      <c r="A145" s="35" t="s">
        <v>64</v>
      </c>
      <c r="B145" s="8" t="s">
        <v>18</v>
      </c>
      <c r="C145" s="28">
        <v>145</v>
      </c>
      <c r="D145" s="28">
        <v>31</v>
      </c>
      <c r="E145" s="28">
        <v>338</v>
      </c>
      <c r="F145" s="49">
        <f t="shared" si="15"/>
        <v>0.52071005917159763</v>
      </c>
    </row>
    <row r="146" spans="1:6" x14ac:dyDescent="0.25">
      <c r="A146" s="35" t="s">
        <v>64</v>
      </c>
      <c r="B146" s="8" t="s">
        <v>475</v>
      </c>
      <c r="C146" s="28">
        <v>38</v>
      </c>
      <c r="D146" s="28">
        <v>11</v>
      </c>
      <c r="E146" s="28">
        <v>186</v>
      </c>
      <c r="F146" s="49">
        <f t="shared" si="15"/>
        <v>0.26344086021505375</v>
      </c>
    </row>
    <row r="147" spans="1:6" x14ac:dyDescent="0.25">
      <c r="A147" s="35" t="s">
        <v>64</v>
      </c>
      <c r="B147" s="8" t="s">
        <v>72</v>
      </c>
      <c r="C147" s="28">
        <v>4</v>
      </c>
      <c r="D147" s="28">
        <v>0</v>
      </c>
      <c r="E147" s="28">
        <v>6</v>
      </c>
      <c r="F147" s="49">
        <f t="shared" si="15"/>
        <v>0.66666666666666663</v>
      </c>
    </row>
    <row r="148" spans="1:6" x14ac:dyDescent="0.25">
      <c r="A148" s="35" t="s">
        <v>64</v>
      </c>
      <c r="B148" s="8" t="s">
        <v>73</v>
      </c>
      <c r="C148" s="28">
        <v>104</v>
      </c>
      <c r="D148" s="28">
        <v>5</v>
      </c>
      <c r="E148" s="28">
        <v>163</v>
      </c>
      <c r="F148" s="49">
        <f t="shared" si="15"/>
        <v>0.66871165644171782</v>
      </c>
    </row>
    <row r="149" spans="1:6" x14ac:dyDescent="0.25">
      <c r="A149" s="35" t="s">
        <v>64</v>
      </c>
      <c r="B149" s="8" t="s">
        <v>74</v>
      </c>
      <c r="C149" s="28">
        <v>207</v>
      </c>
      <c r="D149" s="28">
        <v>46</v>
      </c>
      <c r="E149" s="28">
        <v>381</v>
      </c>
      <c r="F149" s="49">
        <f t="shared" si="15"/>
        <v>0.66404199475065617</v>
      </c>
    </row>
    <row r="150" spans="1:6" x14ac:dyDescent="0.25">
      <c r="A150" s="35" t="s">
        <v>64</v>
      </c>
      <c r="B150" s="8" t="s">
        <v>75</v>
      </c>
      <c r="C150" s="28">
        <v>74</v>
      </c>
      <c r="D150" s="28">
        <v>19</v>
      </c>
      <c r="E150" s="28">
        <v>401</v>
      </c>
      <c r="F150" s="49">
        <f t="shared" si="15"/>
        <v>0.23192019950124687</v>
      </c>
    </row>
    <row r="151" spans="1:6" x14ac:dyDescent="0.25">
      <c r="A151" s="35" t="s">
        <v>64</v>
      </c>
      <c r="B151" s="8" t="s">
        <v>76</v>
      </c>
      <c r="C151" s="28">
        <v>201</v>
      </c>
      <c r="D151" s="28">
        <v>38</v>
      </c>
      <c r="E151" s="28">
        <v>406</v>
      </c>
      <c r="F151" s="49">
        <f t="shared" si="15"/>
        <v>0.58866995073891626</v>
      </c>
    </row>
    <row r="152" spans="1:6" x14ac:dyDescent="0.25">
      <c r="A152" s="35" t="s">
        <v>64</v>
      </c>
      <c r="B152" s="8" t="s">
        <v>77</v>
      </c>
      <c r="C152" s="28">
        <v>104</v>
      </c>
      <c r="D152" s="28">
        <v>46</v>
      </c>
      <c r="E152" s="28">
        <v>412</v>
      </c>
      <c r="F152" s="49">
        <f t="shared" si="15"/>
        <v>0.36407766990291263</v>
      </c>
    </row>
    <row r="153" spans="1:6" x14ac:dyDescent="0.25">
      <c r="A153" s="35" t="s">
        <v>64</v>
      </c>
      <c r="B153" s="8" t="s">
        <v>78</v>
      </c>
      <c r="C153" s="28">
        <v>245</v>
      </c>
      <c r="D153" s="28">
        <v>65</v>
      </c>
      <c r="E153" s="29">
        <v>937</v>
      </c>
      <c r="F153" s="49">
        <f t="shared" si="15"/>
        <v>0.33084311632870866</v>
      </c>
    </row>
    <row r="154" spans="1:6" x14ac:dyDescent="0.25">
      <c r="A154" s="35" t="s">
        <v>64</v>
      </c>
      <c r="B154" s="8" t="s">
        <v>396</v>
      </c>
      <c r="C154" s="28">
        <v>107</v>
      </c>
      <c r="D154" s="28">
        <v>15</v>
      </c>
      <c r="E154" s="29">
        <v>411</v>
      </c>
      <c r="F154" s="49">
        <f t="shared" si="15"/>
        <v>0.29683698296836986</v>
      </c>
    </row>
    <row r="155" spans="1:6" x14ac:dyDescent="0.25">
      <c r="A155" s="35" t="s">
        <v>64</v>
      </c>
      <c r="B155" s="8" t="s">
        <v>79</v>
      </c>
      <c r="C155" s="28">
        <v>140</v>
      </c>
      <c r="D155" s="28">
        <v>40</v>
      </c>
      <c r="E155" s="28">
        <v>316</v>
      </c>
      <c r="F155" s="49">
        <f t="shared" si="15"/>
        <v>0.569620253164557</v>
      </c>
    </row>
    <row r="156" spans="1:6" x14ac:dyDescent="0.25">
      <c r="A156" s="35" t="s">
        <v>64</v>
      </c>
      <c r="B156" s="8" t="s">
        <v>80</v>
      </c>
      <c r="C156" s="28">
        <v>127</v>
      </c>
      <c r="D156" s="28">
        <v>34</v>
      </c>
      <c r="E156" s="28">
        <v>388</v>
      </c>
      <c r="F156" s="49">
        <f t="shared" si="15"/>
        <v>0.41494845360824745</v>
      </c>
    </row>
    <row r="157" spans="1:6" x14ac:dyDescent="0.25">
      <c r="A157" s="35" t="s">
        <v>64</v>
      </c>
      <c r="B157" s="8" t="s">
        <v>81</v>
      </c>
      <c r="C157" s="28">
        <v>147</v>
      </c>
      <c r="D157" s="28">
        <v>37</v>
      </c>
      <c r="E157" s="28">
        <v>636</v>
      </c>
      <c r="F157" s="49">
        <f t="shared" si="15"/>
        <v>0.28930817610062892</v>
      </c>
    </row>
    <row r="158" spans="1:6" x14ac:dyDescent="0.25">
      <c r="A158" s="35" t="s">
        <v>64</v>
      </c>
      <c r="B158" s="8" t="s">
        <v>82</v>
      </c>
      <c r="C158" s="28">
        <v>165</v>
      </c>
      <c r="D158" s="28">
        <v>45</v>
      </c>
      <c r="E158" s="28">
        <v>575</v>
      </c>
      <c r="F158" s="49">
        <f t="shared" si="15"/>
        <v>0.36521739130434783</v>
      </c>
    </row>
    <row r="159" spans="1:6" x14ac:dyDescent="0.25">
      <c r="A159" s="35" t="s">
        <v>64</v>
      </c>
      <c r="B159" s="8" t="s">
        <v>83</v>
      </c>
      <c r="C159" s="28">
        <v>99</v>
      </c>
      <c r="D159" s="28">
        <v>11</v>
      </c>
      <c r="E159" s="28">
        <v>494</v>
      </c>
      <c r="F159" s="49">
        <f t="shared" si="15"/>
        <v>0.22267206477732793</v>
      </c>
    </row>
    <row r="160" spans="1:6" x14ac:dyDescent="0.25">
      <c r="A160" s="35" t="s">
        <v>64</v>
      </c>
      <c r="B160" s="8" t="s">
        <v>84</v>
      </c>
      <c r="C160" s="28">
        <v>96</v>
      </c>
      <c r="D160" s="28">
        <v>14</v>
      </c>
      <c r="E160" s="28">
        <v>308</v>
      </c>
      <c r="F160" s="49">
        <f t="shared" si="15"/>
        <v>0.35714285714285715</v>
      </c>
    </row>
    <row r="161" spans="1:6" x14ac:dyDescent="0.25">
      <c r="A161" s="35" t="s">
        <v>64</v>
      </c>
      <c r="B161" s="8" t="s">
        <v>85</v>
      </c>
      <c r="C161" s="28">
        <v>161</v>
      </c>
      <c r="D161" s="28">
        <v>26</v>
      </c>
      <c r="E161" s="28">
        <v>398</v>
      </c>
      <c r="F161" s="49">
        <f t="shared" si="15"/>
        <v>0.46984924623115576</v>
      </c>
    </row>
    <row r="162" spans="1:6" x14ac:dyDescent="0.25">
      <c r="A162" s="35" t="s">
        <v>64</v>
      </c>
      <c r="B162" s="8" t="s">
        <v>86</v>
      </c>
      <c r="C162" s="28">
        <v>37</v>
      </c>
      <c r="D162" s="28">
        <v>10</v>
      </c>
      <c r="E162" s="28">
        <v>78</v>
      </c>
      <c r="F162" s="49">
        <f t="shared" si="15"/>
        <v>0.60256410256410253</v>
      </c>
    </row>
    <row r="163" spans="1:6" x14ac:dyDescent="0.25">
      <c r="A163" s="35" t="s">
        <v>64</v>
      </c>
      <c r="B163" s="8" t="s">
        <v>87</v>
      </c>
      <c r="C163" s="28">
        <v>55</v>
      </c>
      <c r="D163" s="28">
        <v>15</v>
      </c>
      <c r="E163" s="28">
        <v>85</v>
      </c>
      <c r="F163" s="49">
        <f t="shared" si="15"/>
        <v>0.82352941176470584</v>
      </c>
    </row>
    <row r="164" spans="1:6" x14ac:dyDescent="0.25">
      <c r="A164" s="35" t="s">
        <v>64</v>
      </c>
      <c r="B164" s="8" t="s">
        <v>88</v>
      </c>
      <c r="C164" s="28">
        <v>96</v>
      </c>
      <c r="D164" s="28">
        <v>36</v>
      </c>
      <c r="E164" s="28">
        <v>346</v>
      </c>
      <c r="F164" s="49">
        <f t="shared" si="15"/>
        <v>0.38150289017341038</v>
      </c>
    </row>
    <row r="165" spans="1:6" x14ac:dyDescent="0.25">
      <c r="A165" s="35" t="s">
        <v>64</v>
      </c>
      <c r="B165" s="8" t="s">
        <v>89</v>
      </c>
      <c r="C165" s="28">
        <v>152</v>
      </c>
      <c r="D165" s="28">
        <v>27</v>
      </c>
      <c r="E165" s="28">
        <v>441</v>
      </c>
      <c r="F165" s="49">
        <f t="shared" si="15"/>
        <v>0.40589569160997735</v>
      </c>
    </row>
    <row r="166" spans="1:6" x14ac:dyDescent="0.25">
      <c r="A166" s="35" t="s">
        <v>64</v>
      </c>
      <c r="B166" s="8" t="s">
        <v>90</v>
      </c>
      <c r="C166" s="28">
        <v>24</v>
      </c>
      <c r="D166" s="28">
        <v>9</v>
      </c>
      <c r="E166" s="28">
        <v>75</v>
      </c>
      <c r="F166" s="49">
        <f t="shared" si="15"/>
        <v>0.44</v>
      </c>
    </row>
    <row r="167" spans="1:6" x14ac:dyDescent="0.25">
      <c r="A167" s="35" t="s">
        <v>64</v>
      </c>
      <c r="B167" s="8" t="s">
        <v>91</v>
      </c>
      <c r="C167" s="28">
        <v>174</v>
      </c>
      <c r="D167" s="28">
        <v>22</v>
      </c>
      <c r="E167" s="28">
        <v>474</v>
      </c>
      <c r="F167" s="49">
        <f t="shared" si="15"/>
        <v>0.41350210970464135</v>
      </c>
    </row>
    <row r="168" spans="1:6" x14ac:dyDescent="0.25">
      <c r="A168" s="35" t="s">
        <v>64</v>
      </c>
      <c r="B168" s="8" t="s">
        <v>92</v>
      </c>
      <c r="C168" s="28">
        <v>11</v>
      </c>
      <c r="D168" s="28">
        <v>27</v>
      </c>
      <c r="E168" s="28">
        <v>492</v>
      </c>
      <c r="F168" s="49">
        <f t="shared" si="15"/>
        <v>7.7235772357723581E-2</v>
      </c>
    </row>
    <row r="169" spans="1:6" x14ac:dyDescent="0.25">
      <c r="A169" s="35" t="s">
        <v>64</v>
      </c>
      <c r="B169" s="8" t="s">
        <v>93</v>
      </c>
      <c r="C169" s="28">
        <v>205</v>
      </c>
      <c r="D169" s="28">
        <v>45</v>
      </c>
      <c r="E169" s="28">
        <v>975</v>
      </c>
      <c r="F169" s="49">
        <f t="shared" si="15"/>
        <v>0.25641025641025639</v>
      </c>
    </row>
    <row r="170" spans="1:6" x14ac:dyDescent="0.25">
      <c r="A170" s="35" t="s">
        <v>64</v>
      </c>
      <c r="B170" s="8" t="s">
        <v>94</v>
      </c>
      <c r="C170" s="28">
        <v>135</v>
      </c>
      <c r="D170" s="28">
        <v>21</v>
      </c>
      <c r="E170" s="28">
        <v>481</v>
      </c>
      <c r="F170" s="49">
        <f t="shared" si="15"/>
        <v>0.32432432432432434</v>
      </c>
    </row>
    <row r="171" spans="1:6" x14ac:dyDescent="0.25">
      <c r="A171" s="39" t="s">
        <v>418</v>
      </c>
      <c r="B171" s="6" t="s">
        <v>397</v>
      </c>
      <c r="C171" s="7">
        <f>SUM(C172:C174)</f>
        <v>244.04859999999999</v>
      </c>
      <c r="D171" s="7">
        <f>SUM(D172:D174)</f>
        <v>0</v>
      </c>
      <c r="E171" s="7">
        <f>SUM(E172:E174)</f>
        <v>287</v>
      </c>
      <c r="F171" s="45">
        <f t="shared" si="13"/>
        <v>0.85034355400696859</v>
      </c>
    </row>
    <row r="172" spans="1:6" x14ac:dyDescent="0.25">
      <c r="A172" s="35" t="s">
        <v>95</v>
      </c>
      <c r="B172" s="8" t="s">
        <v>465</v>
      </c>
      <c r="C172" s="12">
        <f>E172*0.9011</f>
        <v>182.0222</v>
      </c>
      <c r="D172" s="12">
        <v>0</v>
      </c>
      <c r="E172" s="12">
        <v>202</v>
      </c>
      <c r="F172" s="49">
        <v>0.90110000000000001</v>
      </c>
    </row>
    <row r="173" spans="1:6" x14ac:dyDescent="0.25">
      <c r="A173" s="35" t="s">
        <v>95</v>
      </c>
      <c r="B173" s="8" t="s">
        <v>466</v>
      </c>
      <c r="C173" s="12">
        <f>E173*0.8616</f>
        <v>46.526400000000002</v>
      </c>
      <c r="D173" s="12">
        <v>0</v>
      </c>
      <c r="E173" s="12">
        <v>54</v>
      </c>
      <c r="F173" s="49">
        <v>0.86160000000000003</v>
      </c>
    </row>
    <row r="174" spans="1:6" x14ac:dyDescent="0.25">
      <c r="A174" s="35" t="s">
        <v>95</v>
      </c>
      <c r="B174" s="8" t="s">
        <v>467</v>
      </c>
      <c r="C174" s="12">
        <f>E174*0.5</f>
        <v>15.5</v>
      </c>
      <c r="D174" s="12">
        <v>0</v>
      </c>
      <c r="E174" s="12">
        <v>31</v>
      </c>
      <c r="F174" s="49">
        <v>0.5</v>
      </c>
    </row>
    <row r="175" spans="1:6" x14ac:dyDescent="0.25">
      <c r="A175" s="39" t="s">
        <v>419</v>
      </c>
      <c r="B175" s="6" t="s">
        <v>397</v>
      </c>
      <c r="C175" s="7">
        <f>SUM(C176:C176)</f>
        <v>104</v>
      </c>
      <c r="D175" s="7">
        <f>SUM(D176:D176)</f>
        <v>4</v>
      </c>
      <c r="E175" s="7">
        <f>SUM(E176:E176)</f>
        <v>268</v>
      </c>
      <c r="F175" s="45">
        <f t="shared" si="13"/>
        <v>0.40298507462686567</v>
      </c>
    </row>
    <row r="176" spans="1:6" x14ac:dyDescent="0.25">
      <c r="A176" s="35" t="s">
        <v>96</v>
      </c>
      <c r="B176" s="8" t="s">
        <v>97</v>
      </c>
      <c r="C176" s="28">
        <v>104</v>
      </c>
      <c r="D176" s="28">
        <v>4</v>
      </c>
      <c r="E176" s="28">
        <v>268</v>
      </c>
      <c r="F176" s="49">
        <f t="shared" si="13"/>
        <v>0.40298507462686567</v>
      </c>
    </row>
    <row r="177" spans="1:6" x14ac:dyDescent="0.25">
      <c r="A177" s="39" t="s">
        <v>420</v>
      </c>
      <c r="B177" s="6" t="s">
        <v>397</v>
      </c>
      <c r="C177" s="7">
        <f>SUM(C178:C178)</f>
        <v>108.25919999999999</v>
      </c>
      <c r="D177" s="7">
        <f>SUM(D178:D178)</f>
        <v>0</v>
      </c>
      <c r="E177" s="7">
        <f>SUM(E178:E178)</f>
        <v>126</v>
      </c>
      <c r="F177" s="45">
        <f t="shared" si="13"/>
        <v>0.85919999999999996</v>
      </c>
    </row>
    <row r="178" spans="1:6" x14ac:dyDescent="0.25">
      <c r="A178" s="35" t="s">
        <v>98</v>
      </c>
      <c r="B178" s="8" t="s">
        <v>334</v>
      </c>
      <c r="C178" s="12">
        <f>E178*0.8592</f>
        <v>108.25919999999999</v>
      </c>
      <c r="D178" s="12">
        <v>0</v>
      </c>
      <c r="E178" s="12">
        <v>126</v>
      </c>
      <c r="F178" s="49">
        <v>0.85919999999999996</v>
      </c>
    </row>
    <row r="179" spans="1:6" x14ac:dyDescent="0.25">
      <c r="A179" s="39" t="s">
        <v>421</v>
      </c>
      <c r="B179" s="6" t="s">
        <v>397</v>
      </c>
      <c r="C179" s="7">
        <f>SUM(C180)</f>
        <v>72.187200000000004</v>
      </c>
      <c r="D179" s="7">
        <f>SUM(D180)</f>
        <v>0</v>
      </c>
      <c r="E179" s="7">
        <f>SUM(E180)</f>
        <v>81</v>
      </c>
      <c r="F179" s="45">
        <f t="shared" si="13"/>
        <v>0.8912000000000001</v>
      </c>
    </row>
    <row r="180" spans="1:6" x14ac:dyDescent="0.25">
      <c r="A180" s="35" t="s">
        <v>99</v>
      </c>
      <c r="B180" s="8" t="s">
        <v>256</v>
      </c>
      <c r="C180" s="12">
        <f>E180*0.8912</f>
        <v>72.187200000000004</v>
      </c>
      <c r="D180" s="12">
        <v>0</v>
      </c>
      <c r="E180" s="12">
        <v>81</v>
      </c>
      <c r="F180" s="49">
        <v>0.89119999999999999</v>
      </c>
    </row>
    <row r="181" spans="1:6" x14ac:dyDescent="0.25">
      <c r="A181" s="39" t="s">
        <v>422</v>
      </c>
      <c r="B181" s="6" t="s">
        <v>397</v>
      </c>
      <c r="C181" s="7">
        <f>SUM(C182:C188)</f>
        <v>167.33120000000002</v>
      </c>
      <c r="D181" s="7">
        <f>SUM(D182:D188)</f>
        <v>0</v>
      </c>
      <c r="E181" s="7">
        <f>SUM(E182:E188)</f>
        <v>182</v>
      </c>
      <c r="F181" s="45">
        <f t="shared" si="13"/>
        <v>0.9194021978021979</v>
      </c>
    </row>
    <row r="182" spans="1:6" x14ac:dyDescent="0.25">
      <c r="A182" s="35" t="s">
        <v>100</v>
      </c>
      <c r="B182" s="8" t="s">
        <v>335</v>
      </c>
      <c r="C182" s="36">
        <f t="shared" ref="C182:C185" si="16">E182*1</f>
        <v>15</v>
      </c>
      <c r="D182" s="12">
        <v>0</v>
      </c>
      <c r="E182" s="12">
        <v>15</v>
      </c>
      <c r="F182" s="49">
        <v>1</v>
      </c>
    </row>
    <row r="183" spans="1:6" x14ac:dyDescent="0.25">
      <c r="A183" s="35" t="s">
        <v>100</v>
      </c>
      <c r="B183" s="8" t="s">
        <v>336</v>
      </c>
      <c r="C183" s="36">
        <f t="shared" si="16"/>
        <v>51</v>
      </c>
      <c r="D183" s="12">
        <v>0</v>
      </c>
      <c r="E183" s="12">
        <v>51</v>
      </c>
      <c r="F183" s="49">
        <v>1</v>
      </c>
    </row>
    <row r="184" spans="1:6" x14ac:dyDescent="0.25">
      <c r="A184" s="35" t="s">
        <v>100</v>
      </c>
      <c r="B184" s="8" t="s">
        <v>368</v>
      </c>
      <c r="C184" s="36">
        <f t="shared" si="16"/>
        <v>24</v>
      </c>
      <c r="D184" s="12">
        <v>0</v>
      </c>
      <c r="E184" s="12">
        <v>24</v>
      </c>
      <c r="F184" s="49">
        <v>1</v>
      </c>
    </row>
    <row r="185" spans="1:6" x14ac:dyDescent="0.25">
      <c r="A185" s="35" t="s">
        <v>100</v>
      </c>
      <c r="B185" s="8" t="s">
        <v>337</v>
      </c>
      <c r="C185" s="36">
        <f t="shared" si="16"/>
        <v>28</v>
      </c>
      <c r="D185" s="12">
        <v>0</v>
      </c>
      <c r="E185" s="12">
        <v>28</v>
      </c>
      <c r="F185" s="49">
        <v>1</v>
      </c>
    </row>
    <row r="186" spans="1:6" x14ac:dyDescent="0.25">
      <c r="A186" s="35" t="s">
        <v>100</v>
      </c>
      <c r="B186" s="8" t="s">
        <v>369</v>
      </c>
      <c r="C186" s="12">
        <f>E186*0.7216</f>
        <v>23.091200000000001</v>
      </c>
      <c r="D186" s="12">
        <v>0</v>
      </c>
      <c r="E186" s="12">
        <v>32</v>
      </c>
      <c r="F186" s="49">
        <v>0.72160000000000002</v>
      </c>
    </row>
    <row r="187" spans="1:6" x14ac:dyDescent="0.25">
      <c r="A187" s="35" t="s">
        <v>100</v>
      </c>
      <c r="B187" s="8" t="s">
        <v>338</v>
      </c>
      <c r="C187" s="12">
        <f>E187*0.64</f>
        <v>10.24</v>
      </c>
      <c r="D187" s="12">
        <v>0</v>
      </c>
      <c r="E187" s="12">
        <v>16</v>
      </c>
      <c r="F187" s="49">
        <v>0.64</v>
      </c>
    </row>
    <row r="188" spans="1:6" x14ac:dyDescent="0.25">
      <c r="A188" s="35" t="s">
        <v>100</v>
      </c>
      <c r="B188" s="8" t="s">
        <v>339</v>
      </c>
      <c r="C188" s="36">
        <f t="shared" ref="C188" si="17">E188*1</f>
        <v>16</v>
      </c>
      <c r="D188" s="12">
        <v>0</v>
      </c>
      <c r="E188" s="12">
        <v>16</v>
      </c>
      <c r="F188" s="49">
        <v>1</v>
      </c>
    </row>
    <row r="189" spans="1:6" x14ac:dyDescent="0.25">
      <c r="A189" s="39" t="s">
        <v>430</v>
      </c>
      <c r="B189" s="6" t="s">
        <v>397</v>
      </c>
      <c r="C189" s="7">
        <f>SUM(C190:C202)</f>
        <v>1129.8</v>
      </c>
      <c r="D189" s="7">
        <f>SUM(D190:D202)</f>
        <v>250</v>
      </c>
      <c r="E189" s="7">
        <f>SUM(E190:E202)</f>
        <v>4814</v>
      </c>
      <c r="F189" s="45">
        <f t="shared" si="13"/>
        <v>0.28662235147486498</v>
      </c>
    </row>
    <row r="190" spans="1:6" x14ac:dyDescent="0.25">
      <c r="A190" s="35" t="s">
        <v>101</v>
      </c>
      <c r="B190" s="8" t="s">
        <v>102</v>
      </c>
      <c r="C190" s="12">
        <v>47</v>
      </c>
      <c r="D190" s="12">
        <v>6</v>
      </c>
      <c r="E190" s="12">
        <v>390</v>
      </c>
      <c r="F190" s="49">
        <f t="shared" si="13"/>
        <v>0.13589743589743589</v>
      </c>
    </row>
    <row r="191" spans="1:6" x14ac:dyDescent="0.25">
      <c r="A191" s="35" t="s">
        <v>101</v>
      </c>
      <c r="B191" s="8" t="s">
        <v>103</v>
      </c>
      <c r="C191" s="12">
        <v>117</v>
      </c>
      <c r="D191" s="12">
        <v>31</v>
      </c>
      <c r="E191" s="12">
        <v>522</v>
      </c>
      <c r="F191" s="49">
        <f t="shared" ref="F191:F202" si="18">(C191+D191)/E191</f>
        <v>0.28352490421455939</v>
      </c>
    </row>
    <row r="192" spans="1:6" x14ac:dyDescent="0.25">
      <c r="A192" s="35" t="s">
        <v>101</v>
      </c>
      <c r="B192" s="8" t="s">
        <v>104</v>
      </c>
      <c r="C192" s="12">
        <v>101</v>
      </c>
      <c r="D192" s="12">
        <v>18</v>
      </c>
      <c r="E192" s="12">
        <v>473</v>
      </c>
      <c r="F192" s="49">
        <f t="shared" si="18"/>
        <v>0.25158562367864695</v>
      </c>
    </row>
    <row r="193" spans="1:6" x14ac:dyDescent="0.25">
      <c r="A193" s="35" t="s">
        <v>101</v>
      </c>
      <c r="B193" s="8" t="s">
        <v>492</v>
      </c>
      <c r="C193" s="12">
        <v>110</v>
      </c>
      <c r="D193" s="12">
        <v>12</v>
      </c>
      <c r="E193" s="12">
        <v>304</v>
      </c>
      <c r="F193" s="49">
        <f t="shared" si="18"/>
        <v>0.40131578947368424</v>
      </c>
    </row>
    <row r="194" spans="1:6" x14ac:dyDescent="0.25">
      <c r="A194" s="35" t="s">
        <v>101</v>
      </c>
      <c r="B194" s="8" t="s">
        <v>493</v>
      </c>
      <c r="C194" s="12">
        <v>115</v>
      </c>
      <c r="D194" s="12">
        <v>30</v>
      </c>
      <c r="E194" s="12">
        <v>395</v>
      </c>
      <c r="F194" s="49">
        <f t="shared" si="18"/>
        <v>0.36708860759493672</v>
      </c>
    </row>
    <row r="195" spans="1:6" x14ac:dyDescent="0.25">
      <c r="A195" s="35" t="s">
        <v>101</v>
      </c>
      <c r="B195" s="8" t="s">
        <v>105</v>
      </c>
      <c r="C195" s="12">
        <v>109</v>
      </c>
      <c r="D195" s="12">
        <v>20</v>
      </c>
      <c r="E195" s="12">
        <v>341</v>
      </c>
      <c r="F195" s="49">
        <f t="shared" si="18"/>
        <v>0.3782991202346041</v>
      </c>
    </row>
    <row r="196" spans="1:6" x14ac:dyDescent="0.25">
      <c r="A196" s="35" t="s">
        <v>101</v>
      </c>
      <c r="B196" s="8" t="s">
        <v>106</v>
      </c>
      <c r="C196" s="12">
        <v>4</v>
      </c>
      <c r="D196" s="12">
        <v>4</v>
      </c>
      <c r="E196" s="12">
        <v>97</v>
      </c>
      <c r="F196" s="49">
        <f t="shared" si="18"/>
        <v>8.247422680412371E-2</v>
      </c>
    </row>
    <row r="197" spans="1:6" x14ac:dyDescent="0.25">
      <c r="A197" s="35" t="s">
        <v>101</v>
      </c>
      <c r="B197" s="8" t="s">
        <v>491</v>
      </c>
      <c r="C197" s="12">
        <v>113</v>
      </c>
      <c r="D197" s="12">
        <v>29</v>
      </c>
      <c r="E197" s="12">
        <v>612</v>
      </c>
      <c r="F197" s="49">
        <f t="shared" si="18"/>
        <v>0.23202614379084968</v>
      </c>
    </row>
    <row r="198" spans="1:6" x14ac:dyDescent="0.25">
      <c r="A198" s="35" t="s">
        <v>101</v>
      </c>
      <c r="B198" s="8" t="s">
        <v>107</v>
      </c>
      <c r="C198" s="12">
        <v>84</v>
      </c>
      <c r="D198" s="12">
        <v>14</v>
      </c>
      <c r="E198" s="12">
        <v>358</v>
      </c>
      <c r="F198" s="49">
        <f t="shared" si="18"/>
        <v>0.27374301675977653</v>
      </c>
    </row>
    <row r="199" spans="1:6" x14ac:dyDescent="0.25">
      <c r="A199" s="35" t="s">
        <v>101</v>
      </c>
      <c r="B199" s="8" t="s">
        <v>215</v>
      </c>
      <c r="C199" s="12">
        <v>10</v>
      </c>
      <c r="D199" s="12">
        <v>4</v>
      </c>
      <c r="E199" s="12">
        <v>199</v>
      </c>
      <c r="F199" s="49">
        <f t="shared" si="18"/>
        <v>7.0351758793969849E-2</v>
      </c>
    </row>
    <row r="200" spans="1:6" x14ac:dyDescent="0.25">
      <c r="A200" s="35" t="s">
        <v>101</v>
      </c>
      <c r="B200" s="8" t="s">
        <v>108</v>
      </c>
      <c r="C200" s="12">
        <v>124</v>
      </c>
      <c r="D200" s="12">
        <v>44</v>
      </c>
      <c r="E200" s="12">
        <v>337</v>
      </c>
      <c r="F200" s="49">
        <f t="shared" si="18"/>
        <v>0.49851632047477745</v>
      </c>
    </row>
    <row r="201" spans="1:6" x14ac:dyDescent="0.25">
      <c r="A201" s="35" t="s">
        <v>101</v>
      </c>
      <c r="B201" s="8" t="s">
        <v>109</v>
      </c>
      <c r="C201" s="12">
        <v>104</v>
      </c>
      <c r="D201" s="12">
        <v>38</v>
      </c>
      <c r="E201" s="12">
        <v>684</v>
      </c>
      <c r="F201" s="49">
        <f t="shared" si="18"/>
        <v>0.20760233918128654</v>
      </c>
    </row>
    <row r="202" spans="1:6" x14ac:dyDescent="0.25">
      <c r="A202" s="35" t="s">
        <v>101</v>
      </c>
      <c r="B202" s="8" t="s">
        <v>468</v>
      </c>
      <c r="C202" s="12">
        <f>E202*0.9</f>
        <v>91.8</v>
      </c>
      <c r="D202" s="12">
        <v>0</v>
      </c>
      <c r="E202" s="12">
        <v>102</v>
      </c>
      <c r="F202" s="49">
        <f t="shared" si="18"/>
        <v>0.9</v>
      </c>
    </row>
    <row r="203" spans="1:6" x14ac:dyDescent="0.25">
      <c r="A203" s="39" t="s">
        <v>431</v>
      </c>
      <c r="B203" s="6" t="s">
        <v>397</v>
      </c>
      <c r="C203" s="7">
        <f>SUM(C204:C204)</f>
        <v>61</v>
      </c>
      <c r="D203" s="7">
        <f>SUM(D204:D204)</f>
        <v>9</v>
      </c>
      <c r="E203" s="7">
        <f>SUM(E204:E204)</f>
        <v>102</v>
      </c>
      <c r="F203" s="45">
        <f t="shared" ref="F203:F254" si="19">(C203+D203)/E203</f>
        <v>0.68627450980392157</v>
      </c>
    </row>
    <row r="204" spans="1:6" x14ac:dyDescent="0.25">
      <c r="A204" s="35" t="s">
        <v>110</v>
      </c>
      <c r="B204" s="62" t="s">
        <v>496</v>
      </c>
      <c r="C204" s="12">
        <v>61</v>
      </c>
      <c r="D204" s="12">
        <v>9</v>
      </c>
      <c r="E204" s="12">
        <v>102</v>
      </c>
      <c r="F204" s="49">
        <f t="shared" si="19"/>
        <v>0.68627450980392157</v>
      </c>
    </row>
    <row r="205" spans="1:6" x14ac:dyDescent="0.25">
      <c r="A205" s="39" t="s">
        <v>423</v>
      </c>
      <c r="B205" s="6" t="s">
        <v>397</v>
      </c>
      <c r="C205" s="7">
        <f>SUM(C206:C206)</f>
        <v>313</v>
      </c>
      <c r="D205" s="7">
        <f>SUM(D206:D206)</f>
        <v>0</v>
      </c>
      <c r="E205" s="7">
        <f>SUM(E206:E206)</f>
        <v>313</v>
      </c>
      <c r="F205" s="45">
        <f t="shared" si="19"/>
        <v>1</v>
      </c>
    </row>
    <row r="206" spans="1:6" x14ac:dyDescent="0.25">
      <c r="A206" s="35" t="s">
        <v>111</v>
      </c>
      <c r="B206" s="8" t="s">
        <v>257</v>
      </c>
      <c r="C206" s="36">
        <f t="shared" ref="C206" si="20">E206*1</f>
        <v>313</v>
      </c>
      <c r="D206" s="12">
        <v>0</v>
      </c>
      <c r="E206" s="12">
        <v>313</v>
      </c>
      <c r="F206" s="49">
        <v>1</v>
      </c>
    </row>
    <row r="207" spans="1:6" x14ac:dyDescent="0.25">
      <c r="A207" s="39" t="s">
        <v>424</v>
      </c>
      <c r="B207" s="6" t="s">
        <v>397</v>
      </c>
      <c r="C207" s="7">
        <f>SUM(C208:C242)</f>
        <v>2432.3845999999999</v>
      </c>
      <c r="D207" s="7">
        <f>SUM(D208:D242)</f>
        <v>705</v>
      </c>
      <c r="E207" s="7">
        <f>SUM(E208:E242)</f>
        <v>7511</v>
      </c>
      <c r="F207" s="45">
        <f t="shared" si="19"/>
        <v>0.41770531220876045</v>
      </c>
    </row>
    <row r="208" spans="1:6" x14ac:dyDescent="0.25">
      <c r="A208" s="35" t="s">
        <v>112</v>
      </c>
      <c r="B208" s="8" t="s">
        <v>113</v>
      </c>
      <c r="C208" s="12">
        <v>45</v>
      </c>
      <c r="D208" s="12">
        <v>19</v>
      </c>
      <c r="E208" s="12">
        <v>139</v>
      </c>
      <c r="F208" s="49">
        <f t="shared" si="19"/>
        <v>0.46043165467625902</v>
      </c>
    </row>
    <row r="209" spans="1:6" x14ac:dyDescent="0.25">
      <c r="A209" s="35" t="s">
        <v>112</v>
      </c>
      <c r="B209" s="8" t="s">
        <v>114</v>
      </c>
      <c r="C209" s="12">
        <v>42</v>
      </c>
      <c r="D209" s="12">
        <v>13</v>
      </c>
      <c r="E209" s="12">
        <v>128</v>
      </c>
      <c r="F209" s="49">
        <f t="shared" si="19"/>
        <v>0.4296875</v>
      </c>
    </row>
    <row r="210" spans="1:6" x14ac:dyDescent="0.25">
      <c r="A210" s="35" t="s">
        <v>112</v>
      </c>
      <c r="B210" s="8" t="s">
        <v>458</v>
      </c>
      <c r="C210" s="12">
        <f>E210*0.707</f>
        <v>20.503</v>
      </c>
      <c r="D210" s="12">
        <v>0</v>
      </c>
      <c r="E210" s="12">
        <v>29</v>
      </c>
      <c r="F210" s="49">
        <v>0.70699999999999996</v>
      </c>
    </row>
    <row r="211" spans="1:6" x14ac:dyDescent="0.25">
      <c r="A211" s="35" t="s">
        <v>112</v>
      </c>
      <c r="B211" s="8" t="s">
        <v>115</v>
      </c>
      <c r="C211" s="12">
        <v>85</v>
      </c>
      <c r="D211" s="12">
        <v>24</v>
      </c>
      <c r="E211" s="12">
        <v>374</v>
      </c>
      <c r="F211" s="49">
        <f t="shared" si="19"/>
        <v>0.29144385026737968</v>
      </c>
    </row>
    <row r="212" spans="1:6" x14ac:dyDescent="0.25">
      <c r="A212" s="35" t="s">
        <v>112</v>
      </c>
      <c r="B212" s="8" t="s">
        <v>116</v>
      </c>
      <c r="C212" s="12">
        <v>50</v>
      </c>
      <c r="D212" s="12">
        <v>12</v>
      </c>
      <c r="E212" s="12">
        <v>179</v>
      </c>
      <c r="F212" s="49">
        <f t="shared" si="19"/>
        <v>0.34636871508379891</v>
      </c>
    </row>
    <row r="213" spans="1:6" x14ac:dyDescent="0.25">
      <c r="A213" s="35" t="s">
        <v>112</v>
      </c>
      <c r="B213" s="8" t="s">
        <v>117</v>
      </c>
      <c r="C213" s="12">
        <v>47</v>
      </c>
      <c r="D213" s="12">
        <v>30</v>
      </c>
      <c r="E213" s="12">
        <v>261</v>
      </c>
      <c r="F213" s="49">
        <f t="shared" si="19"/>
        <v>0.2950191570881226</v>
      </c>
    </row>
    <row r="214" spans="1:6" x14ac:dyDescent="0.25">
      <c r="A214" s="35" t="s">
        <v>112</v>
      </c>
      <c r="B214" s="8" t="s">
        <v>118</v>
      </c>
      <c r="C214" s="12">
        <v>125</v>
      </c>
      <c r="D214" s="12">
        <v>35</v>
      </c>
      <c r="E214" s="12">
        <v>446</v>
      </c>
      <c r="F214" s="49">
        <f t="shared" si="19"/>
        <v>0.35874439461883406</v>
      </c>
    </row>
    <row r="215" spans="1:6" x14ac:dyDescent="0.25">
      <c r="A215" s="35" t="s">
        <v>112</v>
      </c>
      <c r="B215" s="8" t="s">
        <v>119</v>
      </c>
      <c r="C215" s="12">
        <v>30</v>
      </c>
      <c r="D215" s="12">
        <v>6</v>
      </c>
      <c r="E215" s="12">
        <v>70</v>
      </c>
      <c r="F215" s="49">
        <f t="shared" si="19"/>
        <v>0.51428571428571423</v>
      </c>
    </row>
    <row r="216" spans="1:6" x14ac:dyDescent="0.25">
      <c r="A216" s="35" t="s">
        <v>112</v>
      </c>
      <c r="B216" s="8" t="s">
        <v>120</v>
      </c>
      <c r="C216" s="12">
        <v>124</v>
      </c>
      <c r="D216" s="12">
        <v>23</v>
      </c>
      <c r="E216" s="12">
        <v>442</v>
      </c>
      <c r="F216" s="49">
        <f t="shared" si="19"/>
        <v>0.33257918552036198</v>
      </c>
    </row>
    <row r="217" spans="1:6" x14ac:dyDescent="0.25">
      <c r="A217" s="35" t="s">
        <v>112</v>
      </c>
      <c r="B217" s="8" t="s">
        <v>121</v>
      </c>
      <c r="C217" s="12">
        <v>116</v>
      </c>
      <c r="D217" s="12">
        <v>41</v>
      </c>
      <c r="E217" s="12">
        <v>375</v>
      </c>
      <c r="F217" s="49">
        <f t="shared" si="19"/>
        <v>0.41866666666666669</v>
      </c>
    </row>
    <row r="218" spans="1:6" x14ac:dyDescent="0.25">
      <c r="A218" s="35" t="s">
        <v>112</v>
      </c>
      <c r="B218" s="8" t="s">
        <v>122</v>
      </c>
      <c r="C218" s="12">
        <v>22</v>
      </c>
      <c r="D218" s="12">
        <v>21</v>
      </c>
      <c r="E218" s="12">
        <v>123</v>
      </c>
      <c r="F218" s="49">
        <f t="shared" si="19"/>
        <v>0.34959349593495936</v>
      </c>
    </row>
    <row r="219" spans="1:6" x14ac:dyDescent="0.25">
      <c r="A219" s="35" t="s">
        <v>112</v>
      </c>
      <c r="B219" s="8" t="s">
        <v>123</v>
      </c>
      <c r="C219" s="12">
        <v>4</v>
      </c>
      <c r="D219" s="12">
        <v>2</v>
      </c>
      <c r="E219" s="12">
        <v>21</v>
      </c>
      <c r="F219" s="49">
        <f t="shared" si="19"/>
        <v>0.2857142857142857</v>
      </c>
    </row>
    <row r="220" spans="1:6" x14ac:dyDescent="0.25">
      <c r="A220" s="35" t="s">
        <v>112</v>
      </c>
      <c r="B220" s="8" t="s">
        <v>124</v>
      </c>
      <c r="C220" s="12">
        <v>212</v>
      </c>
      <c r="D220" s="12">
        <v>48</v>
      </c>
      <c r="E220" s="12">
        <v>450</v>
      </c>
      <c r="F220" s="49">
        <f t="shared" si="19"/>
        <v>0.57777777777777772</v>
      </c>
    </row>
    <row r="221" spans="1:6" x14ac:dyDescent="0.25">
      <c r="A221" s="35" t="s">
        <v>112</v>
      </c>
      <c r="B221" s="8" t="s">
        <v>375</v>
      </c>
      <c r="C221" s="12">
        <f>E221*1</f>
        <v>80</v>
      </c>
      <c r="D221" s="12">
        <v>0</v>
      </c>
      <c r="E221" s="12">
        <v>80</v>
      </c>
      <c r="F221" s="49">
        <v>1</v>
      </c>
    </row>
    <row r="222" spans="1:6" x14ac:dyDescent="0.25">
      <c r="A222" s="35" t="s">
        <v>112</v>
      </c>
      <c r="B222" s="8" t="s">
        <v>125</v>
      </c>
      <c r="C222" s="12">
        <v>140</v>
      </c>
      <c r="D222" s="12">
        <v>40</v>
      </c>
      <c r="E222" s="12">
        <v>343</v>
      </c>
      <c r="F222" s="49">
        <f t="shared" si="19"/>
        <v>0.52478134110787167</v>
      </c>
    </row>
    <row r="223" spans="1:6" x14ac:dyDescent="0.25">
      <c r="A223" s="35" t="s">
        <v>112</v>
      </c>
      <c r="B223" s="8" t="s">
        <v>126</v>
      </c>
      <c r="C223" s="12">
        <v>127</v>
      </c>
      <c r="D223" s="12">
        <v>38</v>
      </c>
      <c r="E223" s="12">
        <v>344</v>
      </c>
      <c r="F223" s="49">
        <f t="shared" si="19"/>
        <v>0.47965116279069769</v>
      </c>
    </row>
    <row r="224" spans="1:6" x14ac:dyDescent="0.25">
      <c r="A224" s="35" t="s">
        <v>112</v>
      </c>
      <c r="B224" s="8" t="s">
        <v>370</v>
      </c>
      <c r="C224" s="12">
        <f>E224*0.9142</f>
        <v>43.881599999999999</v>
      </c>
      <c r="D224" s="12">
        <v>0</v>
      </c>
      <c r="E224" s="12">
        <v>48</v>
      </c>
      <c r="F224" s="49">
        <v>0.91420000000000001</v>
      </c>
    </row>
    <row r="225" spans="1:6" x14ac:dyDescent="0.25">
      <c r="A225" s="35" t="s">
        <v>112</v>
      </c>
      <c r="B225" s="8" t="s">
        <v>127</v>
      </c>
      <c r="C225" s="12">
        <v>54</v>
      </c>
      <c r="D225" s="12">
        <v>17</v>
      </c>
      <c r="E225" s="12">
        <v>121</v>
      </c>
      <c r="F225" s="49">
        <f t="shared" si="19"/>
        <v>0.58677685950413228</v>
      </c>
    </row>
    <row r="226" spans="1:6" x14ac:dyDescent="0.25">
      <c r="A226" s="35" t="s">
        <v>112</v>
      </c>
      <c r="B226" s="8" t="s">
        <v>128</v>
      </c>
      <c r="C226" s="12">
        <v>64</v>
      </c>
      <c r="D226" s="12">
        <v>23</v>
      </c>
      <c r="E226" s="12">
        <v>206</v>
      </c>
      <c r="F226" s="49">
        <f t="shared" si="19"/>
        <v>0.42233009708737862</v>
      </c>
    </row>
    <row r="227" spans="1:6" x14ac:dyDescent="0.25">
      <c r="A227" s="35" t="s">
        <v>112</v>
      </c>
      <c r="B227" s="8" t="s">
        <v>459</v>
      </c>
      <c r="C227" s="12">
        <v>29</v>
      </c>
      <c r="D227" s="12">
        <v>0</v>
      </c>
      <c r="E227" s="12">
        <v>34</v>
      </c>
      <c r="F227" s="49">
        <v>0.85009999999999997</v>
      </c>
    </row>
    <row r="228" spans="1:6" x14ac:dyDescent="0.25">
      <c r="A228" s="35" t="s">
        <v>112</v>
      </c>
      <c r="B228" s="8" t="s">
        <v>129</v>
      </c>
      <c r="C228" s="12">
        <v>119</v>
      </c>
      <c r="D228" s="12">
        <v>45</v>
      </c>
      <c r="E228" s="12">
        <v>371</v>
      </c>
      <c r="F228" s="49">
        <f t="shared" si="19"/>
        <v>0.44204851752021562</v>
      </c>
    </row>
    <row r="229" spans="1:6" x14ac:dyDescent="0.25">
      <c r="A229" s="35" t="s">
        <v>112</v>
      </c>
      <c r="B229" s="8" t="s">
        <v>210</v>
      </c>
      <c r="C229" s="12">
        <v>29</v>
      </c>
      <c r="D229" s="12">
        <v>8</v>
      </c>
      <c r="E229" s="12">
        <v>87</v>
      </c>
      <c r="F229" s="49">
        <f t="shared" si="19"/>
        <v>0.42528735632183906</v>
      </c>
    </row>
    <row r="230" spans="1:6" x14ac:dyDescent="0.25">
      <c r="A230" s="35" t="s">
        <v>112</v>
      </c>
      <c r="B230" s="8" t="s">
        <v>130</v>
      </c>
      <c r="C230" s="12">
        <v>79</v>
      </c>
      <c r="D230" s="12">
        <v>25</v>
      </c>
      <c r="E230" s="12">
        <v>289</v>
      </c>
      <c r="F230" s="49">
        <f t="shared" si="19"/>
        <v>0.35986159169550175</v>
      </c>
    </row>
    <row r="231" spans="1:6" x14ac:dyDescent="0.25">
      <c r="A231" s="35" t="s">
        <v>112</v>
      </c>
      <c r="B231" s="8" t="s">
        <v>131</v>
      </c>
      <c r="C231" s="12">
        <v>37</v>
      </c>
      <c r="D231" s="12">
        <v>14</v>
      </c>
      <c r="E231" s="12">
        <v>160</v>
      </c>
      <c r="F231" s="49">
        <f t="shared" si="19"/>
        <v>0.31874999999999998</v>
      </c>
    </row>
    <row r="232" spans="1:6" x14ac:dyDescent="0.25">
      <c r="A232" s="35" t="s">
        <v>112</v>
      </c>
      <c r="B232" s="8" t="s">
        <v>132</v>
      </c>
      <c r="C232" s="12">
        <v>41</v>
      </c>
      <c r="D232" s="12">
        <v>9</v>
      </c>
      <c r="E232" s="12">
        <v>146</v>
      </c>
      <c r="F232" s="49">
        <f t="shared" si="19"/>
        <v>0.34246575342465752</v>
      </c>
    </row>
    <row r="233" spans="1:6" x14ac:dyDescent="0.25">
      <c r="A233" s="35" t="s">
        <v>112</v>
      </c>
      <c r="B233" s="8" t="s">
        <v>211</v>
      </c>
      <c r="C233" s="12">
        <v>126</v>
      </c>
      <c r="D233" s="12">
        <v>33</v>
      </c>
      <c r="E233" s="12">
        <v>408</v>
      </c>
      <c r="F233" s="49">
        <f t="shared" si="19"/>
        <v>0.38970588235294118</v>
      </c>
    </row>
    <row r="234" spans="1:6" x14ac:dyDescent="0.25">
      <c r="A234" s="35" t="s">
        <v>112</v>
      </c>
      <c r="B234" s="8" t="s">
        <v>133</v>
      </c>
      <c r="C234" s="12">
        <v>95</v>
      </c>
      <c r="D234" s="12">
        <v>20</v>
      </c>
      <c r="E234" s="12">
        <v>294</v>
      </c>
      <c r="F234" s="49">
        <f t="shared" si="19"/>
        <v>0.391156462585034</v>
      </c>
    </row>
    <row r="235" spans="1:6" x14ac:dyDescent="0.25">
      <c r="A235" s="35" t="s">
        <v>112</v>
      </c>
      <c r="B235" s="8" t="s">
        <v>134</v>
      </c>
      <c r="C235" s="12">
        <v>181</v>
      </c>
      <c r="D235" s="12">
        <v>48</v>
      </c>
      <c r="E235" s="12">
        <v>719</v>
      </c>
      <c r="F235" s="49">
        <f t="shared" si="19"/>
        <v>0.31849791376912379</v>
      </c>
    </row>
    <row r="236" spans="1:6" x14ac:dyDescent="0.25">
      <c r="A236" s="35" t="s">
        <v>112</v>
      </c>
      <c r="B236" s="8" t="s">
        <v>212</v>
      </c>
      <c r="C236" s="12">
        <v>20</v>
      </c>
      <c r="D236" s="12">
        <v>29</v>
      </c>
      <c r="E236" s="12">
        <v>164</v>
      </c>
      <c r="F236" s="49">
        <f t="shared" si="19"/>
        <v>0.29878048780487804</v>
      </c>
    </row>
    <row r="237" spans="1:6" x14ac:dyDescent="0.25">
      <c r="A237" s="35" t="s">
        <v>112</v>
      </c>
      <c r="B237" s="8" t="s">
        <v>476</v>
      </c>
      <c r="C237" s="32">
        <v>0</v>
      </c>
      <c r="D237" s="12">
        <v>0</v>
      </c>
      <c r="E237" s="12">
        <v>0</v>
      </c>
      <c r="F237" s="49">
        <v>0</v>
      </c>
    </row>
    <row r="238" spans="1:6" x14ac:dyDescent="0.25">
      <c r="A238" s="35" t="s">
        <v>112</v>
      </c>
      <c r="B238" s="8" t="s">
        <v>135</v>
      </c>
      <c r="C238" s="12">
        <v>79</v>
      </c>
      <c r="D238" s="12">
        <v>24</v>
      </c>
      <c r="E238" s="12">
        <v>197</v>
      </c>
      <c r="F238" s="49">
        <f t="shared" si="19"/>
        <v>0.52284263959390864</v>
      </c>
    </row>
    <row r="239" spans="1:6" x14ac:dyDescent="0.25">
      <c r="A239" s="35" t="s">
        <v>112</v>
      </c>
      <c r="B239" s="8" t="s">
        <v>136</v>
      </c>
      <c r="C239" s="12">
        <v>11</v>
      </c>
      <c r="D239" s="12">
        <v>1</v>
      </c>
      <c r="E239" s="12">
        <v>33</v>
      </c>
      <c r="F239" s="49">
        <f t="shared" si="19"/>
        <v>0.36363636363636365</v>
      </c>
    </row>
    <row r="240" spans="1:6" x14ac:dyDescent="0.25">
      <c r="A240" s="35" t="s">
        <v>112</v>
      </c>
      <c r="B240" s="8" t="s">
        <v>374</v>
      </c>
      <c r="C240" s="36">
        <f t="shared" ref="C240" si="21">E240*1</f>
        <v>21</v>
      </c>
      <c r="D240" s="12">
        <v>0</v>
      </c>
      <c r="E240" s="12">
        <v>21</v>
      </c>
      <c r="F240" s="49">
        <v>1</v>
      </c>
    </row>
    <row r="241" spans="1:6" x14ac:dyDescent="0.25">
      <c r="A241" s="35" t="s">
        <v>112</v>
      </c>
      <c r="B241" s="8" t="s">
        <v>137</v>
      </c>
      <c r="C241" s="12">
        <v>58</v>
      </c>
      <c r="D241" s="12">
        <v>30</v>
      </c>
      <c r="E241" s="12">
        <v>167</v>
      </c>
      <c r="F241" s="49">
        <f t="shared" si="19"/>
        <v>0.52694610778443118</v>
      </c>
    </row>
    <row r="242" spans="1:6" x14ac:dyDescent="0.25">
      <c r="A242" s="35" t="s">
        <v>112</v>
      </c>
      <c r="B242" s="8" t="s">
        <v>138</v>
      </c>
      <c r="C242" s="12">
        <v>76</v>
      </c>
      <c r="D242" s="12">
        <v>27</v>
      </c>
      <c r="E242" s="12">
        <v>242</v>
      </c>
      <c r="F242" s="49">
        <f t="shared" si="19"/>
        <v>0.42561983471074383</v>
      </c>
    </row>
    <row r="243" spans="1:6" x14ac:dyDescent="0.25">
      <c r="A243" s="39" t="s">
        <v>425</v>
      </c>
      <c r="B243" s="6" t="s">
        <v>397</v>
      </c>
      <c r="C243" s="7">
        <f>SUM(C244:C251)</f>
        <v>810</v>
      </c>
      <c r="D243" s="7">
        <f>SUM(D244:D251)</f>
        <v>147</v>
      </c>
      <c r="E243" s="7">
        <f>SUM(E244:E251)</f>
        <v>2456</v>
      </c>
      <c r="F243" s="45">
        <f t="shared" si="19"/>
        <v>0.38965798045602607</v>
      </c>
    </row>
    <row r="244" spans="1:6" x14ac:dyDescent="0.25">
      <c r="A244" s="35" t="s">
        <v>139</v>
      </c>
      <c r="B244" s="8" t="s">
        <v>144</v>
      </c>
      <c r="C244" s="12">
        <v>108</v>
      </c>
      <c r="D244" s="12">
        <v>30</v>
      </c>
      <c r="E244" s="12">
        <v>292</v>
      </c>
      <c r="F244" s="47">
        <f t="shared" si="19"/>
        <v>0.4726027397260274</v>
      </c>
    </row>
    <row r="245" spans="1:6" x14ac:dyDescent="0.25">
      <c r="A245" s="35" t="s">
        <v>139</v>
      </c>
      <c r="B245" s="8" t="s">
        <v>140</v>
      </c>
      <c r="C245" s="12">
        <v>144</v>
      </c>
      <c r="D245" s="12">
        <v>31</v>
      </c>
      <c r="E245" s="12">
        <v>408</v>
      </c>
      <c r="F245" s="47">
        <f t="shared" si="19"/>
        <v>0.42892156862745096</v>
      </c>
    </row>
    <row r="246" spans="1:6" x14ac:dyDescent="0.25">
      <c r="A246" s="35" t="s">
        <v>139</v>
      </c>
      <c r="B246" s="8" t="s">
        <v>216</v>
      </c>
      <c r="C246" s="12">
        <v>71</v>
      </c>
      <c r="D246" s="12">
        <v>12</v>
      </c>
      <c r="E246" s="12">
        <v>157</v>
      </c>
      <c r="F246" s="47">
        <f t="shared" si="19"/>
        <v>0.5286624203821656</v>
      </c>
    </row>
    <row r="247" spans="1:6" x14ac:dyDescent="0.25">
      <c r="A247" s="35" t="s">
        <v>139</v>
      </c>
      <c r="B247" s="8" t="s">
        <v>141</v>
      </c>
      <c r="C247" s="12">
        <v>132</v>
      </c>
      <c r="D247" s="12">
        <v>28</v>
      </c>
      <c r="E247" s="12">
        <v>608</v>
      </c>
      <c r="F247" s="47">
        <f t="shared" si="19"/>
        <v>0.26315789473684209</v>
      </c>
    </row>
    <row r="248" spans="1:6" x14ac:dyDescent="0.25">
      <c r="A248" s="35" t="s">
        <v>139</v>
      </c>
      <c r="B248" s="8" t="s">
        <v>489</v>
      </c>
      <c r="C248" s="12">
        <v>132</v>
      </c>
      <c r="D248" s="12">
        <v>24</v>
      </c>
      <c r="E248" s="12">
        <v>388</v>
      </c>
      <c r="F248" s="47">
        <f t="shared" si="19"/>
        <v>0.40206185567010311</v>
      </c>
    </row>
    <row r="249" spans="1:6" x14ac:dyDescent="0.25">
      <c r="A249" s="35" t="s">
        <v>139</v>
      </c>
      <c r="B249" s="8" t="s">
        <v>490</v>
      </c>
      <c r="C249" s="12">
        <v>64</v>
      </c>
      <c r="D249" s="12">
        <v>3</v>
      </c>
      <c r="E249" s="12">
        <v>117</v>
      </c>
      <c r="F249" s="47">
        <f t="shared" si="19"/>
        <v>0.57264957264957261</v>
      </c>
    </row>
    <row r="250" spans="1:6" x14ac:dyDescent="0.25">
      <c r="A250" s="35" t="s">
        <v>139</v>
      </c>
      <c r="B250" s="8" t="s">
        <v>142</v>
      </c>
      <c r="C250" s="12">
        <v>91</v>
      </c>
      <c r="D250" s="12">
        <v>10</v>
      </c>
      <c r="E250" s="12">
        <v>284</v>
      </c>
      <c r="F250" s="47">
        <f t="shared" si="19"/>
        <v>0.35563380281690143</v>
      </c>
    </row>
    <row r="251" spans="1:6" x14ac:dyDescent="0.25">
      <c r="A251" s="35" t="s">
        <v>139</v>
      </c>
      <c r="B251" s="8" t="s">
        <v>143</v>
      </c>
      <c r="C251" s="12">
        <v>68</v>
      </c>
      <c r="D251" s="12">
        <v>9</v>
      </c>
      <c r="E251" s="12">
        <v>202</v>
      </c>
      <c r="F251" s="47">
        <f t="shared" si="19"/>
        <v>0.38118811881188119</v>
      </c>
    </row>
    <row r="252" spans="1:6" x14ac:dyDescent="0.25">
      <c r="A252" s="39" t="s">
        <v>426</v>
      </c>
      <c r="B252" s="6" t="s">
        <v>397</v>
      </c>
      <c r="C252" s="7">
        <f>SUM(C253)</f>
        <v>90</v>
      </c>
      <c r="D252" s="7">
        <f>SUM(D253)</f>
        <v>12</v>
      </c>
      <c r="E252" s="7">
        <f>SUM(E253)</f>
        <v>148</v>
      </c>
      <c r="F252" s="45">
        <f t="shared" si="19"/>
        <v>0.68918918918918914</v>
      </c>
    </row>
    <row r="253" spans="1:6" x14ac:dyDescent="0.25">
      <c r="A253" s="35" t="s">
        <v>145</v>
      </c>
      <c r="B253" s="8" t="s">
        <v>146</v>
      </c>
      <c r="C253" s="12">
        <v>90</v>
      </c>
      <c r="D253" s="12">
        <v>12</v>
      </c>
      <c r="E253" s="12">
        <v>148</v>
      </c>
      <c r="F253" s="49">
        <f t="shared" si="19"/>
        <v>0.68918918918918914</v>
      </c>
    </row>
    <row r="254" spans="1:6" x14ac:dyDescent="0.25">
      <c r="A254" s="39" t="s">
        <v>427</v>
      </c>
      <c r="B254" s="6" t="s">
        <v>397</v>
      </c>
      <c r="C254" s="18">
        <f>SUM(C255:C267)</f>
        <v>930.72280000000001</v>
      </c>
      <c r="D254" s="18">
        <f>SUM(D255:D267)</f>
        <v>199</v>
      </c>
      <c r="E254" s="18">
        <f>SUM(E255:E267)</f>
        <v>2297</v>
      </c>
      <c r="F254" s="45">
        <f t="shared" si="19"/>
        <v>0.49182533739660428</v>
      </c>
    </row>
    <row r="255" spans="1:6" x14ac:dyDescent="0.25">
      <c r="A255" s="35" t="s">
        <v>147</v>
      </c>
      <c r="B255" s="8" t="s">
        <v>376</v>
      </c>
      <c r="C255" s="36">
        <f t="shared" ref="C255" si="22">E255*1</f>
        <v>16</v>
      </c>
      <c r="D255" s="12">
        <v>0</v>
      </c>
      <c r="E255" s="12">
        <v>16</v>
      </c>
      <c r="F255" s="49">
        <v>1</v>
      </c>
    </row>
    <row r="256" spans="1:6" x14ac:dyDescent="0.25">
      <c r="A256" s="35" t="s">
        <v>147</v>
      </c>
      <c r="B256" s="8" t="s">
        <v>377</v>
      </c>
      <c r="C256" s="12">
        <f>E256*0.7384</f>
        <v>13.2912</v>
      </c>
      <c r="D256" s="12">
        <v>0</v>
      </c>
      <c r="E256" s="12">
        <v>18</v>
      </c>
      <c r="F256" s="49">
        <v>0.73839999999999995</v>
      </c>
    </row>
    <row r="257" spans="1:6" x14ac:dyDescent="0.25">
      <c r="A257" s="35" t="s">
        <v>147</v>
      </c>
      <c r="B257" s="8" t="s">
        <v>148</v>
      </c>
      <c r="C257" s="12">
        <v>131</v>
      </c>
      <c r="D257" s="12">
        <v>35</v>
      </c>
      <c r="E257" s="12">
        <v>308</v>
      </c>
      <c r="F257" s="49">
        <f t="shared" ref="F257:F266" si="23">(C257+D257)/E257</f>
        <v>0.53896103896103897</v>
      </c>
    </row>
    <row r="258" spans="1:6" x14ac:dyDescent="0.25">
      <c r="A258" s="35" t="s">
        <v>147</v>
      </c>
      <c r="B258" s="8" t="s">
        <v>454</v>
      </c>
      <c r="C258" s="12">
        <v>0</v>
      </c>
      <c r="D258" s="12">
        <v>0</v>
      </c>
      <c r="E258" s="12">
        <v>0</v>
      </c>
      <c r="F258" s="49">
        <v>0</v>
      </c>
    </row>
    <row r="259" spans="1:6" x14ac:dyDescent="0.25">
      <c r="A259" s="35" t="s">
        <v>147</v>
      </c>
      <c r="B259" s="8" t="s">
        <v>149</v>
      </c>
      <c r="C259" s="12">
        <v>266</v>
      </c>
      <c r="D259" s="12">
        <v>44</v>
      </c>
      <c r="E259" s="12">
        <v>718</v>
      </c>
      <c r="F259" s="49">
        <f t="shared" si="23"/>
        <v>0.43175487465181056</v>
      </c>
    </row>
    <row r="260" spans="1:6" x14ac:dyDescent="0.25">
      <c r="A260" s="35" t="s">
        <v>147</v>
      </c>
      <c r="B260" s="8" t="s">
        <v>150</v>
      </c>
      <c r="C260" s="12">
        <v>199</v>
      </c>
      <c r="D260" s="12">
        <v>50</v>
      </c>
      <c r="E260" s="12">
        <v>473</v>
      </c>
      <c r="F260" s="49">
        <f t="shared" si="23"/>
        <v>0.52642706131078221</v>
      </c>
    </row>
    <row r="261" spans="1:6" x14ac:dyDescent="0.25">
      <c r="A261" s="35" t="s">
        <v>147</v>
      </c>
      <c r="B261" s="8" t="s">
        <v>455</v>
      </c>
      <c r="C261" s="12">
        <v>0</v>
      </c>
      <c r="D261" s="12">
        <v>0</v>
      </c>
      <c r="E261" s="12">
        <v>0</v>
      </c>
      <c r="F261" s="49">
        <v>0</v>
      </c>
    </row>
    <row r="262" spans="1:6" x14ac:dyDescent="0.25">
      <c r="A262" s="35" t="s">
        <v>147</v>
      </c>
      <c r="B262" s="8" t="s">
        <v>151</v>
      </c>
      <c r="C262" s="12">
        <v>97</v>
      </c>
      <c r="D262" s="12">
        <v>43</v>
      </c>
      <c r="E262" s="12">
        <v>215</v>
      </c>
      <c r="F262" s="49">
        <f t="shared" si="23"/>
        <v>0.65116279069767447</v>
      </c>
    </row>
    <row r="263" spans="1:6" x14ac:dyDescent="0.25">
      <c r="A263" s="35" t="s">
        <v>147</v>
      </c>
      <c r="B263" s="8" t="s">
        <v>33</v>
      </c>
      <c r="C263" s="12">
        <v>99</v>
      </c>
      <c r="D263" s="12">
        <v>12</v>
      </c>
      <c r="E263" s="12">
        <v>231</v>
      </c>
      <c r="F263" s="49">
        <f t="shared" si="23"/>
        <v>0.48051948051948051</v>
      </c>
    </row>
    <row r="264" spans="1:6" x14ac:dyDescent="0.25">
      <c r="A264" s="35" t="s">
        <v>147</v>
      </c>
      <c r="B264" s="8" t="s">
        <v>378</v>
      </c>
      <c r="C264" s="36">
        <f t="shared" ref="C264:C265" si="24">E264*1</f>
        <v>23</v>
      </c>
      <c r="D264" s="12">
        <v>0</v>
      </c>
      <c r="E264" s="12">
        <v>23</v>
      </c>
      <c r="F264" s="49">
        <v>1</v>
      </c>
    </row>
    <row r="265" spans="1:6" x14ac:dyDescent="0.25">
      <c r="A265" s="35" t="s">
        <v>147</v>
      </c>
      <c r="B265" s="8" t="s">
        <v>379</v>
      </c>
      <c r="C265" s="36">
        <f t="shared" si="24"/>
        <v>16</v>
      </c>
      <c r="D265" s="12">
        <v>0</v>
      </c>
      <c r="E265" s="12">
        <v>16</v>
      </c>
      <c r="F265" s="49">
        <v>1</v>
      </c>
    </row>
    <row r="266" spans="1:6" x14ac:dyDescent="0.25">
      <c r="A266" s="35" t="s">
        <v>147</v>
      </c>
      <c r="B266" s="8" t="s">
        <v>152</v>
      </c>
      <c r="C266" s="12">
        <v>66</v>
      </c>
      <c r="D266" s="12">
        <v>15</v>
      </c>
      <c r="E266" s="12">
        <v>267</v>
      </c>
      <c r="F266" s="49">
        <f t="shared" si="23"/>
        <v>0.30337078651685395</v>
      </c>
    </row>
    <row r="267" spans="1:6" x14ac:dyDescent="0.25">
      <c r="A267" s="35" t="s">
        <v>147</v>
      </c>
      <c r="B267" s="8" t="s">
        <v>380</v>
      </c>
      <c r="C267" s="12">
        <f>E267*0.3693</f>
        <v>4.4316000000000004</v>
      </c>
      <c r="D267" s="12">
        <v>0</v>
      </c>
      <c r="E267" s="12">
        <v>12</v>
      </c>
      <c r="F267" s="49">
        <v>0.36930000000000002</v>
      </c>
    </row>
    <row r="268" spans="1:6" x14ac:dyDescent="0.25">
      <c r="A268" s="39" t="s">
        <v>428</v>
      </c>
      <c r="B268" s="6" t="s">
        <v>397</v>
      </c>
      <c r="C268" s="7">
        <f>SUM(C269:C277)</f>
        <v>382.08850000000001</v>
      </c>
      <c r="D268" s="7">
        <f>SUM(D269:D277)</f>
        <v>0</v>
      </c>
      <c r="E268" s="7">
        <f>SUM(E269:E277)</f>
        <v>398</v>
      </c>
      <c r="F268" s="45">
        <f t="shared" ref="F268:F319" si="25">(C268+D268)/E268</f>
        <v>0.96002135678391964</v>
      </c>
    </row>
    <row r="269" spans="1:6" x14ac:dyDescent="0.25">
      <c r="A269" s="35" t="s">
        <v>153</v>
      </c>
      <c r="B269" s="8" t="s">
        <v>258</v>
      </c>
      <c r="C269" s="12">
        <f>E269*0.8157</f>
        <v>47.310600000000001</v>
      </c>
      <c r="D269" s="12">
        <v>0</v>
      </c>
      <c r="E269" s="12">
        <v>58</v>
      </c>
      <c r="F269" s="49">
        <v>0.81569999999999998</v>
      </c>
    </row>
    <row r="270" spans="1:6" x14ac:dyDescent="0.25">
      <c r="A270" s="35" t="s">
        <v>153</v>
      </c>
      <c r="B270" s="8" t="s">
        <v>259</v>
      </c>
      <c r="C270" s="12">
        <f>E270*0.9411</f>
        <v>79.993499999999997</v>
      </c>
      <c r="D270" s="12">
        <v>0</v>
      </c>
      <c r="E270" s="12">
        <v>85</v>
      </c>
      <c r="F270" s="49">
        <v>0.94110000000000005</v>
      </c>
    </row>
    <row r="271" spans="1:6" x14ac:dyDescent="0.25">
      <c r="A271" s="35" t="s">
        <v>153</v>
      </c>
      <c r="B271" s="8" t="s">
        <v>260</v>
      </c>
      <c r="C271" s="36">
        <f t="shared" ref="C271:C272" si="26">E271*1</f>
        <v>25</v>
      </c>
      <c r="D271" s="12">
        <v>0</v>
      </c>
      <c r="E271" s="12">
        <v>25</v>
      </c>
      <c r="F271" s="49">
        <v>1</v>
      </c>
    </row>
    <row r="272" spans="1:6" x14ac:dyDescent="0.25">
      <c r="A272" s="35" t="s">
        <v>153</v>
      </c>
      <c r="B272" s="8" t="s">
        <v>261</v>
      </c>
      <c r="C272" s="36">
        <f t="shared" si="26"/>
        <v>70</v>
      </c>
      <c r="D272" s="12">
        <v>0</v>
      </c>
      <c r="E272" s="12">
        <v>70</v>
      </c>
      <c r="F272" s="49">
        <v>1</v>
      </c>
    </row>
    <row r="273" spans="1:9" x14ac:dyDescent="0.25">
      <c r="A273" s="35" t="s">
        <v>153</v>
      </c>
      <c r="B273" s="8" t="s">
        <v>262</v>
      </c>
      <c r="C273" s="12">
        <f>E273*0.9846</f>
        <v>13.7844</v>
      </c>
      <c r="D273" s="12">
        <v>0</v>
      </c>
      <c r="E273" s="12">
        <v>14</v>
      </c>
      <c r="F273" s="49">
        <v>0.98460000000000003</v>
      </c>
    </row>
    <row r="274" spans="1:9" x14ac:dyDescent="0.25">
      <c r="A274" s="35" t="s">
        <v>153</v>
      </c>
      <c r="B274" s="8" t="s">
        <v>263</v>
      </c>
      <c r="C274" s="36">
        <f t="shared" ref="C274:C277" si="27">E274*1</f>
        <v>18</v>
      </c>
      <c r="D274" s="12">
        <v>0</v>
      </c>
      <c r="E274" s="12">
        <v>18</v>
      </c>
      <c r="F274" s="49">
        <v>1</v>
      </c>
    </row>
    <row r="275" spans="1:9" x14ac:dyDescent="0.25">
      <c r="A275" s="35" t="s">
        <v>153</v>
      </c>
      <c r="B275" s="8" t="s">
        <v>264</v>
      </c>
      <c r="C275" s="36">
        <f t="shared" si="27"/>
        <v>21</v>
      </c>
      <c r="D275" s="12">
        <v>0</v>
      </c>
      <c r="E275" s="12">
        <v>21</v>
      </c>
      <c r="F275" s="49">
        <v>1</v>
      </c>
    </row>
    <row r="276" spans="1:9" x14ac:dyDescent="0.25">
      <c r="A276" s="35" t="s">
        <v>153</v>
      </c>
      <c r="B276" s="8" t="s">
        <v>265</v>
      </c>
      <c r="C276" s="36">
        <f t="shared" si="27"/>
        <v>66</v>
      </c>
      <c r="D276" s="12">
        <v>0</v>
      </c>
      <c r="E276" s="12">
        <v>66</v>
      </c>
      <c r="F276" s="49">
        <v>1</v>
      </c>
    </row>
    <row r="277" spans="1:9" x14ac:dyDescent="0.25">
      <c r="A277" s="35" t="s">
        <v>153</v>
      </c>
      <c r="B277" s="8" t="s">
        <v>266</v>
      </c>
      <c r="C277" s="36">
        <f t="shared" si="27"/>
        <v>41</v>
      </c>
      <c r="D277" s="12">
        <v>0</v>
      </c>
      <c r="E277" s="12">
        <v>41</v>
      </c>
      <c r="F277" s="49">
        <v>1</v>
      </c>
    </row>
    <row r="278" spans="1:9" x14ac:dyDescent="0.25">
      <c r="A278" s="39" t="s">
        <v>429</v>
      </c>
      <c r="B278" s="6" t="s">
        <v>397</v>
      </c>
      <c r="C278" s="7">
        <f>SUM(C279:C290)</f>
        <v>311.40100000000001</v>
      </c>
      <c r="D278" s="7">
        <f>SUM(D280:D290)</f>
        <v>0</v>
      </c>
      <c r="E278" s="7">
        <f>SUM(E280:E290)</f>
        <v>360</v>
      </c>
      <c r="F278" s="45">
        <f t="shared" si="25"/>
        <v>0.86500277777777779</v>
      </c>
    </row>
    <row r="279" spans="1:9" x14ac:dyDescent="0.25">
      <c r="A279" s="41" t="s">
        <v>154</v>
      </c>
      <c r="B279" s="19" t="s">
        <v>381</v>
      </c>
      <c r="C279" s="36">
        <f t="shared" ref="C279" si="28">E279*1</f>
        <v>10</v>
      </c>
      <c r="D279" s="20">
        <v>0</v>
      </c>
      <c r="E279" s="20">
        <v>10</v>
      </c>
      <c r="F279" s="49">
        <v>1</v>
      </c>
    </row>
    <row r="280" spans="1:9" x14ac:dyDescent="0.25">
      <c r="A280" s="35" t="s">
        <v>154</v>
      </c>
      <c r="B280" s="8" t="s">
        <v>382</v>
      </c>
      <c r="C280" s="12">
        <f>E280*0.9846</f>
        <v>11.815200000000001</v>
      </c>
      <c r="D280" s="20">
        <v>0</v>
      </c>
      <c r="E280" s="12">
        <v>12</v>
      </c>
      <c r="F280" s="49">
        <v>0.98460000000000003</v>
      </c>
    </row>
    <row r="281" spans="1:9" x14ac:dyDescent="0.25">
      <c r="A281" s="35" t="s">
        <v>154</v>
      </c>
      <c r="B281" s="8" t="s">
        <v>383</v>
      </c>
      <c r="C281" s="12">
        <f>E281*0.9333</f>
        <v>17.732700000000001</v>
      </c>
      <c r="D281" s="20">
        <v>0</v>
      </c>
      <c r="E281" s="12">
        <v>19</v>
      </c>
      <c r="F281" s="49">
        <v>0.93330000000000002</v>
      </c>
    </row>
    <row r="282" spans="1:9" x14ac:dyDescent="0.25">
      <c r="A282" s="35" t="s">
        <v>154</v>
      </c>
      <c r="B282" s="8" t="s">
        <v>384</v>
      </c>
      <c r="C282" s="12">
        <f>E282*0.8421</f>
        <v>19.368299999999998</v>
      </c>
      <c r="D282" s="20">
        <v>0</v>
      </c>
      <c r="E282" s="12">
        <v>23</v>
      </c>
      <c r="F282" s="49">
        <v>0.84209999999999996</v>
      </c>
    </row>
    <row r="283" spans="1:9" x14ac:dyDescent="0.25">
      <c r="A283" s="35" t="s">
        <v>154</v>
      </c>
      <c r="B283" s="8" t="s">
        <v>385</v>
      </c>
      <c r="C283" s="36">
        <f>E283*1</f>
        <v>36</v>
      </c>
      <c r="D283" s="20">
        <v>0</v>
      </c>
      <c r="E283" s="12">
        <v>36</v>
      </c>
      <c r="F283" s="49">
        <v>1</v>
      </c>
    </row>
    <row r="284" spans="1:9" s="21" customFormat="1" x14ac:dyDescent="0.25">
      <c r="A284" s="35" t="s">
        <v>154</v>
      </c>
      <c r="B284" s="8" t="s">
        <v>386</v>
      </c>
      <c r="C284" s="36">
        <f t="shared" ref="C284:C287" si="29">E284*1</f>
        <v>20</v>
      </c>
      <c r="D284" s="20">
        <v>0</v>
      </c>
      <c r="E284" s="12">
        <v>20</v>
      </c>
      <c r="F284" s="49">
        <v>1</v>
      </c>
      <c r="G284" s="22"/>
      <c r="I284" s="22"/>
    </row>
    <row r="285" spans="1:9" x14ac:dyDescent="0.25">
      <c r="A285" s="35" t="s">
        <v>154</v>
      </c>
      <c r="B285" s="8" t="s">
        <v>387</v>
      </c>
      <c r="C285" s="36">
        <f t="shared" si="29"/>
        <v>24</v>
      </c>
      <c r="D285" s="20">
        <v>0</v>
      </c>
      <c r="E285" s="12">
        <v>24</v>
      </c>
      <c r="F285" s="49">
        <v>1</v>
      </c>
    </row>
    <row r="286" spans="1:9" x14ac:dyDescent="0.25">
      <c r="A286" s="35" t="s">
        <v>154</v>
      </c>
      <c r="B286" s="8" t="s">
        <v>388</v>
      </c>
      <c r="C286" s="36">
        <f t="shared" si="29"/>
        <v>92</v>
      </c>
      <c r="D286" s="20">
        <v>0</v>
      </c>
      <c r="E286" s="12">
        <v>92</v>
      </c>
      <c r="F286" s="49">
        <v>1</v>
      </c>
    </row>
    <row r="287" spans="1:9" x14ac:dyDescent="0.25">
      <c r="A287" s="35" t="s">
        <v>154</v>
      </c>
      <c r="B287" s="8" t="s">
        <v>389</v>
      </c>
      <c r="C287" s="36">
        <f t="shared" si="29"/>
        <v>30</v>
      </c>
      <c r="D287" s="20">
        <v>0</v>
      </c>
      <c r="E287" s="12">
        <v>30</v>
      </c>
      <c r="F287" s="49">
        <v>1</v>
      </c>
    </row>
    <row r="288" spans="1:9" x14ac:dyDescent="0.25">
      <c r="A288" s="35" t="s">
        <v>154</v>
      </c>
      <c r="B288" s="8" t="s">
        <v>390</v>
      </c>
      <c r="C288" s="12">
        <f>E288*0.923</f>
        <v>25.844000000000001</v>
      </c>
      <c r="D288" s="20">
        <v>0</v>
      </c>
      <c r="E288" s="12">
        <v>28</v>
      </c>
      <c r="F288" s="49">
        <v>0.92300000000000004</v>
      </c>
    </row>
    <row r="289" spans="1:6" x14ac:dyDescent="0.25">
      <c r="A289" s="35" t="s">
        <v>154</v>
      </c>
      <c r="B289" s="8" t="s">
        <v>391</v>
      </c>
      <c r="C289" s="12">
        <f>E289*0.4923</f>
        <v>7.8768000000000002</v>
      </c>
      <c r="D289" s="20">
        <v>0</v>
      </c>
      <c r="E289" s="12">
        <v>16</v>
      </c>
      <c r="F289" s="49">
        <v>0.49230000000000002</v>
      </c>
    </row>
    <row r="290" spans="1:6" x14ac:dyDescent="0.25">
      <c r="A290" s="35" t="s">
        <v>154</v>
      </c>
      <c r="B290" s="8" t="s">
        <v>392</v>
      </c>
      <c r="C290" s="12">
        <f>E290*0.2794</f>
        <v>16.763999999999999</v>
      </c>
      <c r="D290" s="20">
        <v>0</v>
      </c>
      <c r="E290" s="12">
        <v>60</v>
      </c>
      <c r="F290" s="49">
        <v>0.27939999999999998</v>
      </c>
    </row>
    <row r="291" spans="1:6" x14ac:dyDescent="0.25">
      <c r="A291" s="39" t="s">
        <v>432</v>
      </c>
      <c r="B291" s="6" t="s">
        <v>397</v>
      </c>
      <c r="C291" s="7">
        <f>SUM(C292:C318)</f>
        <v>3845.5308999999997</v>
      </c>
      <c r="D291" s="7">
        <f>SUM(D292:D318)</f>
        <v>0</v>
      </c>
      <c r="E291" s="7">
        <f>SUM(E292:E318)</f>
        <v>4169</v>
      </c>
      <c r="F291" s="45">
        <f t="shared" si="25"/>
        <v>0.92241086591508747</v>
      </c>
    </row>
    <row r="292" spans="1:6" x14ac:dyDescent="0.25">
      <c r="A292" s="35" t="s">
        <v>155</v>
      </c>
      <c r="B292" s="8" t="s">
        <v>267</v>
      </c>
      <c r="C292" s="36">
        <f t="shared" ref="C292:C300" si="30">E292*1</f>
        <v>113</v>
      </c>
      <c r="D292" s="12">
        <v>0</v>
      </c>
      <c r="E292" s="12">
        <v>113</v>
      </c>
      <c r="F292" s="49">
        <v>1</v>
      </c>
    </row>
    <row r="293" spans="1:6" x14ac:dyDescent="0.25">
      <c r="A293" s="35" t="s">
        <v>155</v>
      </c>
      <c r="B293" s="8" t="s">
        <v>268</v>
      </c>
      <c r="C293" s="36">
        <f t="shared" si="30"/>
        <v>120</v>
      </c>
      <c r="D293" s="12">
        <v>0</v>
      </c>
      <c r="E293" s="12">
        <v>120</v>
      </c>
      <c r="F293" s="49">
        <v>1</v>
      </c>
    </row>
    <row r="294" spans="1:6" x14ac:dyDescent="0.25">
      <c r="A294" s="35" t="s">
        <v>155</v>
      </c>
      <c r="B294" s="8" t="s">
        <v>269</v>
      </c>
      <c r="C294" s="36">
        <f t="shared" si="30"/>
        <v>198</v>
      </c>
      <c r="D294" s="12">
        <v>0</v>
      </c>
      <c r="E294" s="12">
        <v>198</v>
      </c>
      <c r="F294" s="49">
        <v>1</v>
      </c>
    </row>
    <row r="295" spans="1:6" x14ac:dyDescent="0.25">
      <c r="A295" s="35" t="s">
        <v>155</v>
      </c>
      <c r="B295" s="8" t="s">
        <v>270</v>
      </c>
      <c r="C295" s="12">
        <f>E295*0.7032</f>
        <v>118.8408</v>
      </c>
      <c r="D295" s="12">
        <v>0</v>
      </c>
      <c r="E295" s="12">
        <v>169</v>
      </c>
      <c r="F295" s="49">
        <v>0.70320000000000005</v>
      </c>
    </row>
    <row r="296" spans="1:6" x14ac:dyDescent="0.25">
      <c r="A296" s="35" t="s">
        <v>155</v>
      </c>
      <c r="B296" s="8" t="s">
        <v>271</v>
      </c>
      <c r="C296" s="36">
        <f t="shared" si="30"/>
        <v>72</v>
      </c>
      <c r="D296" s="12">
        <v>0</v>
      </c>
      <c r="E296" s="12">
        <v>72</v>
      </c>
      <c r="F296" s="49">
        <v>1</v>
      </c>
    </row>
    <row r="297" spans="1:6" x14ac:dyDescent="0.25">
      <c r="A297" s="35" t="s">
        <v>155</v>
      </c>
      <c r="B297" s="8" t="s">
        <v>272</v>
      </c>
      <c r="C297" s="12">
        <f>E297*0.7576</f>
        <v>382.58800000000002</v>
      </c>
      <c r="D297" s="12">
        <v>0</v>
      </c>
      <c r="E297" s="12">
        <v>505</v>
      </c>
      <c r="F297" s="49">
        <v>0.75760000000000005</v>
      </c>
    </row>
    <row r="298" spans="1:6" x14ac:dyDescent="0.25">
      <c r="A298" s="35" t="s">
        <v>155</v>
      </c>
      <c r="B298" s="8" t="s">
        <v>273</v>
      </c>
      <c r="C298" s="36">
        <f t="shared" si="30"/>
        <v>151</v>
      </c>
      <c r="D298" s="12">
        <v>0</v>
      </c>
      <c r="E298" s="12">
        <v>151</v>
      </c>
      <c r="F298" s="49">
        <v>1</v>
      </c>
    </row>
    <row r="299" spans="1:6" x14ac:dyDescent="0.25">
      <c r="A299" s="35" t="s">
        <v>155</v>
      </c>
      <c r="B299" s="8" t="s">
        <v>274</v>
      </c>
      <c r="C299" s="36">
        <f t="shared" si="30"/>
        <v>202</v>
      </c>
      <c r="D299" s="12">
        <v>0</v>
      </c>
      <c r="E299" s="12">
        <v>202</v>
      </c>
      <c r="F299" s="49">
        <v>1</v>
      </c>
    </row>
    <row r="300" spans="1:6" x14ac:dyDescent="0.25">
      <c r="A300" s="35" t="s">
        <v>155</v>
      </c>
      <c r="B300" s="8" t="s">
        <v>275</v>
      </c>
      <c r="C300" s="36">
        <f t="shared" si="30"/>
        <v>155</v>
      </c>
      <c r="D300" s="12">
        <v>0</v>
      </c>
      <c r="E300" s="12">
        <v>155</v>
      </c>
      <c r="F300" s="49">
        <v>1</v>
      </c>
    </row>
    <row r="301" spans="1:6" x14ac:dyDescent="0.25">
      <c r="A301" s="35" t="s">
        <v>155</v>
      </c>
      <c r="B301" s="8" t="s">
        <v>276</v>
      </c>
      <c r="C301" s="12">
        <f>E301*0.8626</f>
        <v>107.825</v>
      </c>
      <c r="D301" s="12">
        <v>0</v>
      </c>
      <c r="E301" s="12">
        <v>125</v>
      </c>
      <c r="F301" s="49">
        <v>0.86260000000000003</v>
      </c>
    </row>
    <row r="302" spans="1:6" x14ac:dyDescent="0.25">
      <c r="A302" s="35" t="s">
        <v>155</v>
      </c>
      <c r="B302" s="8" t="s">
        <v>277</v>
      </c>
      <c r="C302" s="12">
        <f>E302*0.8702</f>
        <v>301.08920000000001</v>
      </c>
      <c r="D302" s="12">
        <v>0</v>
      </c>
      <c r="E302" s="12">
        <v>346</v>
      </c>
      <c r="F302" s="49">
        <v>0.87019999999999997</v>
      </c>
    </row>
    <row r="303" spans="1:6" x14ac:dyDescent="0.25">
      <c r="A303" s="35" t="s">
        <v>155</v>
      </c>
      <c r="B303" s="8" t="s">
        <v>278</v>
      </c>
      <c r="C303" s="36">
        <f t="shared" ref="C303:C313" si="31">E303*1</f>
        <v>107</v>
      </c>
      <c r="D303" s="12">
        <v>0</v>
      </c>
      <c r="E303" s="12">
        <v>107</v>
      </c>
      <c r="F303" s="49">
        <v>1</v>
      </c>
    </row>
    <row r="304" spans="1:6" x14ac:dyDescent="0.25">
      <c r="A304" s="35" t="s">
        <v>155</v>
      </c>
      <c r="B304" s="8" t="s">
        <v>279</v>
      </c>
      <c r="C304" s="36">
        <f t="shared" si="31"/>
        <v>256</v>
      </c>
      <c r="D304" s="12">
        <v>0</v>
      </c>
      <c r="E304" s="12">
        <v>256</v>
      </c>
      <c r="F304" s="49">
        <v>1</v>
      </c>
    </row>
    <row r="305" spans="1:6" x14ac:dyDescent="0.25">
      <c r="A305" s="35" t="s">
        <v>155</v>
      </c>
      <c r="B305" s="8" t="s">
        <v>280</v>
      </c>
      <c r="C305" s="36">
        <f t="shared" si="31"/>
        <v>212</v>
      </c>
      <c r="D305" s="12">
        <v>0</v>
      </c>
      <c r="E305" s="12">
        <v>212</v>
      </c>
      <c r="F305" s="49">
        <v>1</v>
      </c>
    </row>
    <row r="306" spans="1:6" x14ac:dyDescent="0.25">
      <c r="A306" s="42" t="s">
        <v>155</v>
      </c>
      <c r="B306" s="23" t="s">
        <v>477</v>
      </c>
      <c r="C306" s="36">
        <f t="shared" si="31"/>
        <v>52</v>
      </c>
      <c r="D306" s="12">
        <v>0</v>
      </c>
      <c r="E306" s="12">
        <v>52</v>
      </c>
      <c r="F306" s="49">
        <v>1</v>
      </c>
    </row>
    <row r="307" spans="1:6" x14ac:dyDescent="0.25">
      <c r="A307" s="35" t="s">
        <v>155</v>
      </c>
      <c r="B307" s="8" t="s">
        <v>281</v>
      </c>
      <c r="C307" s="36">
        <f t="shared" si="31"/>
        <v>139</v>
      </c>
      <c r="D307" s="12">
        <v>0</v>
      </c>
      <c r="E307" s="12">
        <v>139</v>
      </c>
      <c r="F307" s="49">
        <v>1</v>
      </c>
    </row>
    <row r="308" spans="1:6" x14ac:dyDescent="0.25">
      <c r="A308" s="35" t="s">
        <v>155</v>
      </c>
      <c r="B308" s="16" t="s">
        <v>282</v>
      </c>
      <c r="C308" s="36">
        <f t="shared" si="31"/>
        <v>144</v>
      </c>
      <c r="D308" s="12">
        <v>0</v>
      </c>
      <c r="E308" s="12">
        <v>144</v>
      </c>
      <c r="F308" s="49">
        <v>1</v>
      </c>
    </row>
    <row r="309" spans="1:6" x14ac:dyDescent="0.25">
      <c r="A309" s="35" t="s">
        <v>155</v>
      </c>
      <c r="B309" s="16" t="s">
        <v>283</v>
      </c>
      <c r="C309" s="12">
        <f>E309*0.753</f>
        <v>252.255</v>
      </c>
      <c r="D309" s="12">
        <v>0</v>
      </c>
      <c r="E309" s="12">
        <v>335</v>
      </c>
      <c r="F309" s="49">
        <v>0.753</v>
      </c>
    </row>
    <row r="310" spans="1:6" x14ac:dyDescent="0.25">
      <c r="A310" s="35" t="s">
        <v>155</v>
      </c>
      <c r="B310" s="8" t="s">
        <v>284</v>
      </c>
      <c r="C310" s="36">
        <f t="shared" si="31"/>
        <v>98</v>
      </c>
      <c r="D310" s="12">
        <v>0</v>
      </c>
      <c r="E310" s="12">
        <v>98</v>
      </c>
      <c r="F310" s="49">
        <v>1</v>
      </c>
    </row>
    <row r="311" spans="1:6" x14ac:dyDescent="0.25">
      <c r="A311" s="35" t="s">
        <v>155</v>
      </c>
      <c r="B311" s="8" t="s">
        <v>285</v>
      </c>
      <c r="C311" s="36">
        <f t="shared" si="31"/>
        <v>185</v>
      </c>
      <c r="D311" s="12">
        <v>0</v>
      </c>
      <c r="E311" s="12">
        <v>185</v>
      </c>
      <c r="F311" s="49">
        <v>1</v>
      </c>
    </row>
    <row r="312" spans="1:6" x14ac:dyDescent="0.25">
      <c r="A312" s="35" t="s">
        <v>155</v>
      </c>
      <c r="B312" s="8" t="s">
        <v>286</v>
      </c>
      <c r="C312" s="36">
        <f t="shared" si="31"/>
        <v>43</v>
      </c>
      <c r="D312" s="12">
        <v>0</v>
      </c>
      <c r="E312" s="12">
        <v>43</v>
      </c>
      <c r="F312" s="49">
        <v>1</v>
      </c>
    </row>
    <row r="313" spans="1:6" x14ac:dyDescent="0.25">
      <c r="A313" s="35" t="s">
        <v>155</v>
      </c>
      <c r="B313" s="8" t="s">
        <v>287</v>
      </c>
      <c r="C313" s="36">
        <f t="shared" si="31"/>
        <v>106</v>
      </c>
      <c r="D313" s="12">
        <v>0</v>
      </c>
      <c r="E313" s="12">
        <v>106</v>
      </c>
      <c r="F313" s="49">
        <v>1</v>
      </c>
    </row>
    <row r="314" spans="1:6" x14ac:dyDescent="0.25">
      <c r="A314" s="35" t="s">
        <v>155</v>
      </c>
      <c r="B314" s="8" t="s">
        <v>288</v>
      </c>
      <c r="C314" s="12">
        <f>E314*0.5333</f>
        <v>6.9329000000000001</v>
      </c>
      <c r="D314" s="12">
        <v>0</v>
      </c>
      <c r="E314" s="12">
        <v>13</v>
      </c>
      <c r="F314" s="49">
        <v>0.5333</v>
      </c>
    </row>
    <row r="315" spans="1:6" x14ac:dyDescent="0.25">
      <c r="A315" s="35" t="s">
        <v>155</v>
      </c>
      <c r="B315" s="8" t="s">
        <v>289</v>
      </c>
      <c r="C315" s="36">
        <f t="shared" ref="C315:C318" si="32">E315*1</f>
        <v>13</v>
      </c>
      <c r="D315" s="12">
        <v>0</v>
      </c>
      <c r="E315" s="12">
        <v>13</v>
      </c>
      <c r="F315" s="49">
        <v>1</v>
      </c>
    </row>
    <row r="316" spans="1:6" x14ac:dyDescent="0.25">
      <c r="A316" s="35" t="s">
        <v>155</v>
      </c>
      <c r="B316" s="8" t="s">
        <v>290</v>
      </c>
      <c r="C316" s="36">
        <f t="shared" si="32"/>
        <v>71</v>
      </c>
      <c r="D316" s="12">
        <v>0</v>
      </c>
      <c r="E316" s="12">
        <v>71</v>
      </c>
      <c r="F316" s="49">
        <v>1</v>
      </c>
    </row>
    <row r="317" spans="1:6" x14ac:dyDescent="0.25">
      <c r="A317" s="35" t="s">
        <v>155</v>
      </c>
      <c r="B317" s="8" t="s">
        <v>291</v>
      </c>
      <c r="C317" s="36">
        <f t="shared" si="32"/>
        <v>92</v>
      </c>
      <c r="D317" s="12">
        <v>0</v>
      </c>
      <c r="E317" s="12">
        <v>92</v>
      </c>
      <c r="F317" s="49">
        <v>1</v>
      </c>
    </row>
    <row r="318" spans="1:6" x14ac:dyDescent="0.25">
      <c r="A318" s="35" t="s">
        <v>155</v>
      </c>
      <c r="B318" s="8" t="s">
        <v>292</v>
      </c>
      <c r="C318" s="36">
        <f t="shared" si="32"/>
        <v>147</v>
      </c>
      <c r="D318" s="12">
        <v>0</v>
      </c>
      <c r="E318" s="12">
        <v>147</v>
      </c>
      <c r="F318" s="49">
        <v>1</v>
      </c>
    </row>
    <row r="319" spans="1:6" x14ac:dyDescent="0.25">
      <c r="A319" s="39" t="s">
        <v>433</v>
      </c>
      <c r="B319" s="6" t="s">
        <v>397</v>
      </c>
      <c r="C319" s="7">
        <f>SUM(C320:C329)</f>
        <v>2052</v>
      </c>
      <c r="D319" s="7">
        <f>SUM(D320:D329)</f>
        <v>0</v>
      </c>
      <c r="E319" s="7">
        <f>SUM(E320:E329)</f>
        <v>2052</v>
      </c>
      <c r="F319" s="45">
        <f t="shared" si="25"/>
        <v>1</v>
      </c>
    </row>
    <row r="320" spans="1:6" x14ac:dyDescent="0.25">
      <c r="A320" s="35" t="s">
        <v>156</v>
      </c>
      <c r="B320" s="8" t="s">
        <v>442</v>
      </c>
      <c r="C320" s="36">
        <f t="shared" ref="C320:C329" si="33">E320*1</f>
        <v>237</v>
      </c>
      <c r="D320" s="12">
        <v>0</v>
      </c>
      <c r="E320" s="12">
        <v>237</v>
      </c>
      <c r="F320" s="44">
        <f t="shared" ref="F320:F381" si="34">(C320+D320)/E320</f>
        <v>1</v>
      </c>
    </row>
    <row r="321" spans="1:6" x14ac:dyDescent="0.25">
      <c r="A321" s="35" t="s">
        <v>156</v>
      </c>
      <c r="B321" s="8" t="s">
        <v>443</v>
      </c>
      <c r="C321" s="36">
        <f t="shared" si="33"/>
        <v>218</v>
      </c>
      <c r="D321" s="12">
        <v>0</v>
      </c>
      <c r="E321" s="12">
        <v>218</v>
      </c>
      <c r="F321" s="44">
        <f t="shared" si="34"/>
        <v>1</v>
      </c>
    </row>
    <row r="322" spans="1:6" x14ac:dyDescent="0.25">
      <c r="A322" s="35" t="s">
        <v>156</v>
      </c>
      <c r="B322" s="8" t="s">
        <v>444</v>
      </c>
      <c r="C322" s="36">
        <f t="shared" si="33"/>
        <v>488</v>
      </c>
      <c r="D322" s="12">
        <v>0</v>
      </c>
      <c r="E322" s="12">
        <v>488</v>
      </c>
      <c r="F322" s="44">
        <f t="shared" si="34"/>
        <v>1</v>
      </c>
    </row>
    <row r="323" spans="1:6" x14ac:dyDescent="0.25">
      <c r="A323" s="35" t="s">
        <v>156</v>
      </c>
      <c r="B323" s="8" t="s">
        <v>445</v>
      </c>
      <c r="C323" s="36">
        <f t="shared" si="33"/>
        <v>175</v>
      </c>
      <c r="D323" s="12">
        <v>0</v>
      </c>
      <c r="E323" s="12">
        <v>175</v>
      </c>
      <c r="F323" s="44">
        <f t="shared" si="34"/>
        <v>1</v>
      </c>
    </row>
    <row r="324" spans="1:6" x14ac:dyDescent="0.25">
      <c r="A324" s="35" t="s">
        <v>156</v>
      </c>
      <c r="B324" s="8" t="s">
        <v>446</v>
      </c>
      <c r="C324" s="36">
        <f t="shared" si="33"/>
        <v>122</v>
      </c>
      <c r="D324" s="12">
        <v>0</v>
      </c>
      <c r="E324" s="12">
        <v>122</v>
      </c>
      <c r="F324" s="44">
        <f t="shared" si="34"/>
        <v>1</v>
      </c>
    </row>
    <row r="325" spans="1:6" x14ac:dyDescent="0.25">
      <c r="A325" s="35" t="s">
        <v>156</v>
      </c>
      <c r="B325" s="8" t="s">
        <v>447</v>
      </c>
      <c r="C325" s="36">
        <f t="shared" si="33"/>
        <v>209</v>
      </c>
      <c r="D325" s="12">
        <v>0</v>
      </c>
      <c r="E325" s="12">
        <v>209</v>
      </c>
      <c r="F325" s="44">
        <f t="shared" si="34"/>
        <v>1</v>
      </c>
    </row>
    <row r="326" spans="1:6" x14ac:dyDescent="0.25">
      <c r="A326" s="35" t="s">
        <v>156</v>
      </c>
      <c r="B326" s="8" t="s">
        <v>448</v>
      </c>
      <c r="C326" s="36">
        <f t="shared" si="33"/>
        <v>192</v>
      </c>
      <c r="D326" s="12">
        <v>0</v>
      </c>
      <c r="E326" s="12">
        <v>192</v>
      </c>
      <c r="F326" s="44">
        <f t="shared" si="34"/>
        <v>1</v>
      </c>
    </row>
    <row r="327" spans="1:6" x14ac:dyDescent="0.25">
      <c r="A327" s="35" t="s">
        <v>156</v>
      </c>
      <c r="B327" s="8" t="s">
        <v>449</v>
      </c>
      <c r="C327" s="36">
        <f t="shared" si="33"/>
        <v>127</v>
      </c>
      <c r="D327" s="12">
        <v>0</v>
      </c>
      <c r="E327" s="12">
        <v>127</v>
      </c>
      <c r="F327" s="44">
        <f t="shared" si="34"/>
        <v>1</v>
      </c>
    </row>
    <row r="328" spans="1:6" x14ac:dyDescent="0.25">
      <c r="A328" s="35" t="s">
        <v>156</v>
      </c>
      <c r="B328" s="8" t="s">
        <v>450</v>
      </c>
      <c r="C328" s="36">
        <f t="shared" si="33"/>
        <v>219</v>
      </c>
      <c r="D328" s="12">
        <v>0</v>
      </c>
      <c r="E328" s="12">
        <v>219</v>
      </c>
      <c r="F328" s="44">
        <f t="shared" si="34"/>
        <v>1</v>
      </c>
    </row>
    <row r="329" spans="1:6" x14ac:dyDescent="0.25">
      <c r="A329" s="35" t="s">
        <v>156</v>
      </c>
      <c r="B329" s="8" t="s">
        <v>451</v>
      </c>
      <c r="C329" s="36">
        <f t="shared" si="33"/>
        <v>65</v>
      </c>
      <c r="D329" s="12">
        <v>0</v>
      </c>
      <c r="E329" s="12">
        <v>65</v>
      </c>
      <c r="F329" s="44">
        <f t="shared" si="34"/>
        <v>1</v>
      </c>
    </row>
    <row r="330" spans="1:6" x14ac:dyDescent="0.25">
      <c r="A330" s="39" t="s">
        <v>434</v>
      </c>
      <c r="B330" s="6" t="s">
        <v>397</v>
      </c>
      <c r="C330" s="7">
        <f>SUM(C331:C366)</f>
        <v>6101.0002000000013</v>
      </c>
      <c r="D330" s="7">
        <f>SUM(D331:D366)</f>
        <v>890</v>
      </c>
      <c r="E330" s="7">
        <f>SUM(E331:E366)</f>
        <v>16037</v>
      </c>
      <c r="F330" s="45">
        <f t="shared" si="34"/>
        <v>0.43592942570306176</v>
      </c>
    </row>
    <row r="331" spans="1:6" x14ac:dyDescent="0.25">
      <c r="A331" s="35" t="s">
        <v>157</v>
      </c>
      <c r="B331" s="8" t="s">
        <v>478</v>
      </c>
      <c r="C331" s="36">
        <f>E331*0.7595</f>
        <v>300.762</v>
      </c>
      <c r="D331" s="28">
        <v>0</v>
      </c>
      <c r="E331" s="28">
        <v>396</v>
      </c>
      <c r="F331" s="49">
        <v>0.75949999999999995</v>
      </c>
    </row>
    <row r="332" spans="1:6" x14ac:dyDescent="0.25">
      <c r="A332" s="35" t="s">
        <v>157</v>
      </c>
      <c r="B332" s="8" t="s">
        <v>479</v>
      </c>
      <c r="C332" s="36">
        <f>E332*0.917</f>
        <v>201.74</v>
      </c>
      <c r="D332" s="28">
        <v>0</v>
      </c>
      <c r="E332" s="28">
        <v>220</v>
      </c>
      <c r="F332" s="49">
        <v>0.91069999999999995</v>
      </c>
    </row>
    <row r="333" spans="1:6" x14ac:dyDescent="0.25">
      <c r="A333" s="35" t="s">
        <v>157</v>
      </c>
      <c r="B333" s="8" t="s">
        <v>158</v>
      </c>
      <c r="C333" s="28">
        <v>99</v>
      </c>
      <c r="D333" s="28">
        <v>26</v>
      </c>
      <c r="E333" s="28">
        <v>343</v>
      </c>
      <c r="F333" s="47">
        <f t="shared" ref="F333:F341" si="35">(C333+D333)/E333</f>
        <v>0.36443148688046645</v>
      </c>
    </row>
    <row r="334" spans="1:6" x14ac:dyDescent="0.25">
      <c r="A334" s="35" t="s">
        <v>157</v>
      </c>
      <c r="B334" s="8" t="s">
        <v>159</v>
      </c>
      <c r="C334" s="28">
        <v>225</v>
      </c>
      <c r="D334" s="28">
        <v>62</v>
      </c>
      <c r="E334" s="29">
        <v>1050</v>
      </c>
      <c r="F334" s="47">
        <f t="shared" si="35"/>
        <v>0.27333333333333332</v>
      </c>
    </row>
    <row r="335" spans="1:6" x14ac:dyDescent="0.25">
      <c r="A335" s="35" t="s">
        <v>157</v>
      </c>
      <c r="B335" s="8" t="s">
        <v>160</v>
      </c>
      <c r="C335" s="28">
        <v>195</v>
      </c>
      <c r="D335" s="28">
        <v>48</v>
      </c>
      <c r="E335" s="28">
        <v>808</v>
      </c>
      <c r="F335" s="47">
        <f t="shared" si="35"/>
        <v>0.30074257425742573</v>
      </c>
    </row>
    <row r="336" spans="1:6" x14ac:dyDescent="0.25">
      <c r="A336" s="35" t="s">
        <v>157</v>
      </c>
      <c r="B336" s="8" t="s">
        <v>161</v>
      </c>
      <c r="C336" s="28">
        <v>157</v>
      </c>
      <c r="D336" s="28">
        <v>35</v>
      </c>
      <c r="E336" s="28">
        <v>476</v>
      </c>
      <c r="F336" s="47">
        <f t="shared" si="35"/>
        <v>0.40336134453781514</v>
      </c>
    </row>
    <row r="337" spans="1:6" x14ac:dyDescent="0.25">
      <c r="A337" s="35" t="s">
        <v>157</v>
      </c>
      <c r="B337" s="62" t="s">
        <v>497</v>
      </c>
      <c r="C337" s="28">
        <v>185</v>
      </c>
      <c r="D337" s="28">
        <v>30</v>
      </c>
      <c r="E337" s="28">
        <v>390</v>
      </c>
      <c r="F337" s="47">
        <f t="shared" si="35"/>
        <v>0.55128205128205132</v>
      </c>
    </row>
    <row r="338" spans="1:6" x14ac:dyDescent="0.25">
      <c r="A338" s="35" t="s">
        <v>157</v>
      </c>
      <c r="B338" s="8" t="s">
        <v>162</v>
      </c>
      <c r="C338" s="28">
        <v>117</v>
      </c>
      <c r="D338" s="28">
        <v>31</v>
      </c>
      <c r="E338" s="28">
        <v>469</v>
      </c>
      <c r="F338" s="47">
        <f t="shared" si="35"/>
        <v>0.31556503198294245</v>
      </c>
    </row>
    <row r="339" spans="1:6" x14ac:dyDescent="0.25">
      <c r="A339" s="35" t="s">
        <v>157</v>
      </c>
      <c r="B339" s="8" t="s">
        <v>163</v>
      </c>
      <c r="C339" s="28">
        <v>86</v>
      </c>
      <c r="D339" s="28">
        <v>16</v>
      </c>
      <c r="E339" s="28">
        <v>489</v>
      </c>
      <c r="F339" s="47">
        <f t="shared" si="35"/>
        <v>0.20858895705521471</v>
      </c>
    </row>
    <row r="340" spans="1:6" x14ac:dyDescent="0.25">
      <c r="A340" s="35" t="s">
        <v>157</v>
      </c>
      <c r="B340" s="8" t="s">
        <v>164</v>
      </c>
      <c r="C340" s="28">
        <v>14</v>
      </c>
      <c r="D340" s="28">
        <v>10</v>
      </c>
      <c r="E340" s="28">
        <v>54</v>
      </c>
      <c r="F340" s="47">
        <f t="shared" si="35"/>
        <v>0.44444444444444442</v>
      </c>
    </row>
    <row r="341" spans="1:6" x14ac:dyDescent="0.25">
      <c r="A341" s="35" t="s">
        <v>157</v>
      </c>
      <c r="B341" s="8" t="s">
        <v>165</v>
      </c>
      <c r="C341" s="28">
        <v>117</v>
      </c>
      <c r="D341" s="28">
        <v>27</v>
      </c>
      <c r="E341" s="28">
        <v>355</v>
      </c>
      <c r="F341" s="47">
        <f t="shared" si="35"/>
        <v>0.40563380281690142</v>
      </c>
    </row>
    <row r="342" spans="1:6" x14ac:dyDescent="0.25">
      <c r="A342" s="35" t="s">
        <v>157</v>
      </c>
      <c r="B342" s="19" t="s">
        <v>480</v>
      </c>
      <c r="C342" s="54">
        <f>E342*0.6891</f>
        <v>484.43730000000005</v>
      </c>
      <c r="D342" s="55">
        <v>0</v>
      </c>
      <c r="E342" s="55">
        <v>703</v>
      </c>
      <c r="F342" s="49">
        <v>0.68910000000000005</v>
      </c>
    </row>
    <row r="343" spans="1:6" x14ac:dyDescent="0.25">
      <c r="A343" s="35" t="s">
        <v>157</v>
      </c>
      <c r="B343" s="8" t="s">
        <v>393</v>
      </c>
      <c r="C343" s="36">
        <f>E343*0.7091</f>
        <v>324.05869999999999</v>
      </c>
      <c r="D343" s="28">
        <v>0</v>
      </c>
      <c r="E343" s="28">
        <v>457</v>
      </c>
      <c r="F343" s="47">
        <v>0.70909999999999995</v>
      </c>
    </row>
    <row r="344" spans="1:6" x14ac:dyDescent="0.25">
      <c r="A344" s="35" t="s">
        <v>157</v>
      </c>
      <c r="B344" s="8" t="s">
        <v>166</v>
      </c>
      <c r="C344" s="28">
        <v>165</v>
      </c>
      <c r="D344" s="28">
        <v>24</v>
      </c>
      <c r="E344" s="28">
        <v>543</v>
      </c>
      <c r="F344" s="47">
        <f t="shared" ref="F344:F366" si="36">(C344+D344)/E344</f>
        <v>0.34806629834254144</v>
      </c>
    </row>
    <row r="345" spans="1:6" x14ac:dyDescent="0.25">
      <c r="A345" s="35" t="s">
        <v>157</v>
      </c>
      <c r="B345" s="8" t="s">
        <v>167</v>
      </c>
      <c r="C345" s="28">
        <v>115</v>
      </c>
      <c r="D345" s="28">
        <v>24</v>
      </c>
      <c r="E345" s="28">
        <v>330</v>
      </c>
      <c r="F345" s="47">
        <f t="shared" si="36"/>
        <v>0.4212121212121212</v>
      </c>
    </row>
    <row r="346" spans="1:6" x14ac:dyDescent="0.25">
      <c r="A346" s="35" t="s">
        <v>157</v>
      </c>
      <c r="B346" s="8" t="s">
        <v>168</v>
      </c>
      <c r="C346" s="28">
        <v>160</v>
      </c>
      <c r="D346" s="28">
        <v>21</v>
      </c>
      <c r="E346" s="28">
        <v>448</v>
      </c>
      <c r="F346" s="47">
        <f t="shared" si="36"/>
        <v>0.40401785714285715</v>
      </c>
    </row>
    <row r="347" spans="1:6" x14ac:dyDescent="0.25">
      <c r="A347" s="35" t="s">
        <v>157</v>
      </c>
      <c r="B347" s="8" t="s">
        <v>169</v>
      </c>
      <c r="C347" s="28">
        <v>113</v>
      </c>
      <c r="D347" s="28">
        <v>31</v>
      </c>
      <c r="E347" s="28">
        <v>735</v>
      </c>
      <c r="F347" s="47">
        <f t="shared" si="36"/>
        <v>0.19591836734693877</v>
      </c>
    </row>
    <row r="348" spans="1:6" x14ac:dyDescent="0.25">
      <c r="A348" s="35" t="s">
        <v>157</v>
      </c>
      <c r="B348" s="8" t="s">
        <v>456</v>
      </c>
      <c r="C348" s="36">
        <v>29</v>
      </c>
      <c r="D348" s="28">
        <v>1</v>
      </c>
      <c r="E348" s="28">
        <v>75</v>
      </c>
      <c r="F348" s="47">
        <f t="shared" si="36"/>
        <v>0.4</v>
      </c>
    </row>
    <row r="349" spans="1:6" x14ac:dyDescent="0.25">
      <c r="A349" s="35" t="s">
        <v>157</v>
      </c>
      <c r="B349" s="8" t="s">
        <v>394</v>
      </c>
      <c r="C349" s="36">
        <f>E349*0.7238</f>
        <v>255.50139999999999</v>
      </c>
      <c r="D349" s="28">
        <v>0</v>
      </c>
      <c r="E349" s="28">
        <v>353</v>
      </c>
      <c r="F349" s="47">
        <v>0.7238</v>
      </c>
    </row>
    <row r="350" spans="1:6" x14ac:dyDescent="0.25">
      <c r="A350" s="35" t="s">
        <v>157</v>
      </c>
      <c r="B350" s="8" t="s">
        <v>170</v>
      </c>
      <c r="C350" s="28">
        <v>195</v>
      </c>
      <c r="D350" s="28">
        <v>62</v>
      </c>
      <c r="E350" s="28">
        <v>775</v>
      </c>
      <c r="F350" s="47">
        <f t="shared" si="36"/>
        <v>0.33161290322580644</v>
      </c>
    </row>
    <row r="351" spans="1:6" x14ac:dyDescent="0.25">
      <c r="A351" s="35" t="s">
        <v>157</v>
      </c>
      <c r="B351" s="8" t="s">
        <v>171</v>
      </c>
      <c r="C351" s="28">
        <v>232</v>
      </c>
      <c r="D351" s="28">
        <v>44</v>
      </c>
      <c r="E351" s="28">
        <v>590</v>
      </c>
      <c r="F351" s="47">
        <f t="shared" si="36"/>
        <v>0.46779661016949153</v>
      </c>
    </row>
    <row r="352" spans="1:6" x14ac:dyDescent="0.25">
      <c r="A352" s="35" t="s">
        <v>157</v>
      </c>
      <c r="B352" s="8" t="s">
        <v>172</v>
      </c>
      <c r="C352" s="28">
        <v>112</v>
      </c>
      <c r="D352" s="28">
        <v>40</v>
      </c>
      <c r="E352" s="28">
        <v>477</v>
      </c>
      <c r="F352" s="47">
        <f t="shared" si="36"/>
        <v>0.31865828092243187</v>
      </c>
    </row>
    <row r="353" spans="1:6" x14ac:dyDescent="0.25">
      <c r="A353" s="35" t="s">
        <v>157</v>
      </c>
      <c r="B353" s="8" t="s">
        <v>486</v>
      </c>
      <c r="C353" s="28">
        <v>260</v>
      </c>
      <c r="D353" s="28">
        <v>42</v>
      </c>
      <c r="E353" s="28">
        <v>614</v>
      </c>
      <c r="F353" s="47">
        <f t="shared" si="36"/>
        <v>0.49185667752442996</v>
      </c>
    </row>
    <row r="354" spans="1:6" x14ac:dyDescent="0.25">
      <c r="A354" s="35" t="s">
        <v>157</v>
      </c>
      <c r="B354" s="8" t="s">
        <v>173</v>
      </c>
      <c r="C354" s="28">
        <v>190</v>
      </c>
      <c r="D354" s="28">
        <v>37</v>
      </c>
      <c r="E354" s="28">
        <v>472</v>
      </c>
      <c r="F354" s="47">
        <f t="shared" si="36"/>
        <v>0.4809322033898305</v>
      </c>
    </row>
    <row r="355" spans="1:6" x14ac:dyDescent="0.25">
      <c r="A355" s="35" t="s">
        <v>157</v>
      </c>
      <c r="B355" s="8" t="s">
        <v>174</v>
      </c>
      <c r="C355" s="28">
        <v>147</v>
      </c>
      <c r="D355" s="28">
        <v>32</v>
      </c>
      <c r="E355" s="28">
        <v>393</v>
      </c>
      <c r="F355" s="47">
        <f t="shared" si="36"/>
        <v>0.45547073791348602</v>
      </c>
    </row>
    <row r="356" spans="1:6" x14ac:dyDescent="0.25">
      <c r="A356" s="35" t="s">
        <v>157</v>
      </c>
      <c r="B356" s="8" t="s">
        <v>175</v>
      </c>
      <c r="C356" s="28">
        <v>100</v>
      </c>
      <c r="D356" s="28">
        <v>17</v>
      </c>
      <c r="E356" s="28">
        <v>211</v>
      </c>
      <c r="F356" s="47">
        <f t="shared" si="36"/>
        <v>0.5545023696682464</v>
      </c>
    </row>
    <row r="357" spans="1:6" x14ac:dyDescent="0.25">
      <c r="A357" s="35" t="s">
        <v>157</v>
      </c>
      <c r="B357" s="8" t="s">
        <v>481</v>
      </c>
      <c r="C357" s="36">
        <f>E357*0.8706</f>
        <v>42.659400000000005</v>
      </c>
      <c r="D357" s="28">
        <v>0</v>
      </c>
      <c r="E357" s="28">
        <v>49</v>
      </c>
      <c r="F357" s="47">
        <v>0.87060000000000004</v>
      </c>
    </row>
    <row r="358" spans="1:6" x14ac:dyDescent="0.25">
      <c r="A358" s="35" t="s">
        <v>157</v>
      </c>
      <c r="B358" s="8" t="s">
        <v>176</v>
      </c>
      <c r="C358" s="28">
        <v>178</v>
      </c>
      <c r="D358" s="28">
        <v>40</v>
      </c>
      <c r="E358" s="28">
        <v>471</v>
      </c>
      <c r="F358" s="47">
        <f t="shared" si="36"/>
        <v>0.46284501061571126</v>
      </c>
    </row>
    <row r="359" spans="1:6" x14ac:dyDescent="0.25">
      <c r="A359" s="35" t="s">
        <v>157</v>
      </c>
      <c r="B359" s="8" t="s">
        <v>177</v>
      </c>
      <c r="C359" s="28">
        <v>42</v>
      </c>
      <c r="D359" s="28">
        <v>13</v>
      </c>
      <c r="E359" s="28">
        <v>121</v>
      </c>
      <c r="F359" s="47">
        <f t="shared" si="36"/>
        <v>0.45454545454545453</v>
      </c>
    </row>
    <row r="360" spans="1:6" x14ac:dyDescent="0.25">
      <c r="A360" s="35" t="s">
        <v>157</v>
      </c>
      <c r="B360" s="8" t="s">
        <v>395</v>
      </c>
      <c r="C360" s="36">
        <f>E360*0.6414</f>
        <v>257.20139999999998</v>
      </c>
      <c r="D360" s="28">
        <v>0</v>
      </c>
      <c r="E360" s="28">
        <v>401</v>
      </c>
      <c r="F360" s="47">
        <v>0.64139999999999997</v>
      </c>
    </row>
    <row r="361" spans="1:6" x14ac:dyDescent="0.25">
      <c r="A361" s="35" t="s">
        <v>157</v>
      </c>
      <c r="B361" s="8" t="s">
        <v>178</v>
      </c>
      <c r="C361" s="28">
        <v>250</v>
      </c>
      <c r="D361" s="28">
        <v>47</v>
      </c>
      <c r="E361" s="28">
        <v>819</v>
      </c>
      <c r="F361" s="47">
        <f t="shared" si="36"/>
        <v>0.36263736263736263</v>
      </c>
    </row>
    <row r="362" spans="1:6" x14ac:dyDescent="0.25">
      <c r="A362" s="35" t="s">
        <v>157</v>
      </c>
      <c r="B362" s="8" t="s">
        <v>482</v>
      </c>
      <c r="C362" s="36">
        <f>E362*0.832</f>
        <v>16.64</v>
      </c>
      <c r="D362" s="28">
        <v>0</v>
      </c>
      <c r="E362" s="28">
        <v>20</v>
      </c>
      <c r="F362" s="47">
        <v>0.83199999999999996</v>
      </c>
    </row>
    <row r="363" spans="1:6" x14ac:dyDescent="0.25">
      <c r="A363" s="35" t="s">
        <v>157</v>
      </c>
      <c r="B363" s="8" t="s">
        <v>487</v>
      </c>
      <c r="C363" s="28">
        <v>91</v>
      </c>
      <c r="D363" s="28">
        <v>8</v>
      </c>
      <c r="E363" s="28">
        <v>199</v>
      </c>
      <c r="F363" s="47">
        <f t="shared" si="36"/>
        <v>0.49748743718592964</v>
      </c>
    </row>
    <row r="364" spans="1:6" x14ac:dyDescent="0.25">
      <c r="A364" s="35" t="s">
        <v>157</v>
      </c>
      <c r="B364" s="8" t="s">
        <v>179</v>
      </c>
      <c r="C364" s="28">
        <v>277</v>
      </c>
      <c r="D364" s="28">
        <v>59</v>
      </c>
      <c r="E364" s="29">
        <v>872</v>
      </c>
      <c r="F364" s="47">
        <f t="shared" si="36"/>
        <v>0.38532110091743121</v>
      </c>
    </row>
    <row r="365" spans="1:6" x14ac:dyDescent="0.25">
      <c r="A365" s="35" t="s">
        <v>157</v>
      </c>
      <c r="B365" s="8" t="s">
        <v>180</v>
      </c>
      <c r="C365" s="28">
        <v>291</v>
      </c>
      <c r="D365" s="28">
        <v>55</v>
      </c>
      <c r="E365" s="28">
        <v>693</v>
      </c>
      <c r="F365" s="47">
        <f t="shared" si="36"/>
        <v>0.49927849927849927</v>
      </c>
    </row>
    <row r="366" spans="1:6" x14ac:dyDescent="0.25">
      <c r="A366" s="35" t="s">
        <v>157</v>
      </c>
      <c r="B366" s="63" t="s">
        <v>488</v>
      </c>
      <c r="C366" s="36">
        <v>76</v>
      </c>
      <c r="D366" s="28">
        <v>8</v>
      </c>
      <c r="E366" s="28">
        <v>166</v>
      </c>
      <c r="F366" s="47">
        <f t="shared" si="36"/>
        <v>0.50602409638554213</v>
      </c>
    </row>
    <row r="367" spans="1:6" x14ac:dyDescent="0.25">
      <c r="A367" s="39" t="s">
        <v>435</v>
      </c>
      <c r="B367" s="6" t="s">
        <v>397</v>
      </c>
      <c r="C367" s="7">
        <f>SUM(C368)</f>
        <v>333.72840000000002</v>
      </c>
      <c r="D367" s="7">
        <f>SUM(D368)</f>
        <v>0</v>
      </c>
      <c r="E367" s="7">
        <f>SUM(E368)</f>
        <v>426</v>
      </c>
      <c r="F367" s="45">
        <f t="shared" si="34"/>
        <v>0.7834000000000001</v>
      </c>
    </row>
    <row r="368" spans="1:6" x14ac:dyDescent="0.25">
      <c r="A368" s="35" t="s">
        <v>181</v>
      </c>
      <c r="B368" s="8" t="s">
        <v>293</v>
      </c>
      <c r="C368" s="24">
        <f>E368*0.7834</f>
        <v>333.72840000000002</v>
      </c>
      <c r="D368" s="24">
        <v>0</v>
      </c>
      <c r="E368" s="24">
        <v>426</v>
      </c>
      <c r="F368" s="49">
        <v>0.74050000000000005</v>
      </c>
    </row>
    <row r="369" spans="1:6" x14ac:dyDescent="0.25">
      <c r="A369" s="39" t="s">
        <v>436</v>
      </c>
      <c r="B369" s="6" t="s">
        <v>397</v>
      </c>
      <c r="C369" s="7">
        <f>SUM(C370)</f>
        <v>144.79600000000002</v>
      </c>
      <c r="D369" s="7">
        <f>SUM(D370)</f>
        <v>0</v>
      </c>
      <c r="E369" s="7">
        <f>SUM(E370)</f>
        <v>212</v>
      </c>
      <c r="F369" s="45">
        <f t="shared" si="34"/>
        <v>0.68300000000000005</v>
      </c>
    </row>
    <row r="370" spans="1:6" x14ac:dyDescent="0.25">
      <c r="A370" s="35" t="s">
        <v>182</v>
      </c>
      <c r="B370" s="8" t="s">
        <v>457</v>
      </c>
      <c r="C370" s="36">
        <f>E370*0.683</f>
        <v>144.79600000000002</v>
      </c>
      <c r="D370" s="28">
        <v>0</v>
      </c>
      <c r="E370" s="28">
        <v>212</v>
      </c>
      <c r="F370" s="49">
        <v>0.68300000000000005</v>
      </c>
    </row>
    <row r="371" spans="1:6" x14ac:dyDescent="0.25">
      <c r="A371" s="39" t="s">
        <v>437</v>
      </c>
      <c r="B371" s="6" t="s">
        <v>397</v>
      </c>
      <c r="C371" s="7">
        <f>SUM(C372:C374)</f>
        <v>676.80160000000001</v>
      </c>
      <c r="D371" s="7">
        <f>SUM(D372:D374)</f>
        <v>0</v>
      </c>
      <c r="E371" s="7">
        <f>SUM(E372:E374)</f>
        <v>700</v>
      </c>
      <c r="F371" s="45">
        <f t="shared" si="34"/>
        <v>0.96685942857142859</v>
      </c>
    </row>
    <row r="372" spans="1:6" x14ac:dyDescent="0.25">
      <c r="A372" s="35" t="s">
        <v>183</v>
      </c>
      <c r="B372" s="8" t="s">
        <v>294</v>
      </c>
      <c r="C372" s="36">
        <f t="shared" ref="C372" si="37">E372*1</f>
        <v>376</v>
      </c>
      <c r="D372" s="12">
        <v>0</v>
      </c>
      <c r="E372" s="12">
        <v>376</v>
      </c>
      <c r="F372" s="48">
        <v>1</v>
      </c>
    </row>
    <row r="373" spans="1:6" x14ac:dyDescent="0.25">
      <c r="A373" s="35" t="s">
        <v>183</v>
      </c>
      <c r="B373" s="8" t="s">
        <v>295</v>
      </c>
      <c r="C373" s="12">
        <f>E373*0.9284</f>
        <v>300.80160000000001</v>
      </c>
      <c r="D373" s="12">
        <v>0</v>
      </c>
      <c r="E373" s="12">
        <v>324</v>
      </c>
      <c r="F373" s="49">
        <v>0.9284</v>
      </c>
    </row>
    <row r="374" spans="1:6" x14ac:dyDescent="0.25">
      <c r="A374" s="35" t="s">
        <v>183</v>
      </c>
      <c r="B374" s="8" t="s">
        <v>498</v>
      </c>
      <c r="C374" s="12">
        <f>E374*0.9284</f>
        <v>0</v>
      </c>
      <c r="D374" s="12">
        <v>0</v>
      </c>
      <c r="E374" s="12"/>
      <c r="F374" s="49">
        <v>0.9284</v>
      </c>
    </row>
    <row r="375" spans="1:6" x14ac:dyDescent="0.25">
      <c r="A375" s="39" t="s">
        <v>438</v>
      </c>
      <c r="B375" s="6" t="s">
        <v>397</v>
      </c>
      <c r="C375" s="7">
        <f>SUM(C376:C386)</f>
        <v>626.01</v>
      </c>
      <c r="D375" s="7">
        <f>SUM(D376:D386)</f>
        <v>29</v>
      </c>
      <c r="E375" s="7">
        <f>SUM(E376:E386)</f>
        <v>2202</v>
      </c>
      <c r="F375" s="45">
        <f t="shared" si="34"/>
        <v>0.29746139872842869</v>
      </c>
    </row>
    <row r="376" spans="1:6" x14ac:dyDescent="0.25">
      <c r="A376" s="35" t="s">
        <v>184</v>
      </c>
      <c r="B376" s="8" t="s">
        <v>500</v>
      </c>
      <c r="C376" s="12">
        <v>24</v>
      </c>
      <c r="D376" s="12">
        <v>0</v>
      </c>
      <c r="E376" s="12">
        <v>169</v>
      </c>
      <c r="F376" s="49">
        <f t="shared" si="34"/>
        <v>0.14201183431952663</v>
      </c>
    </row>
    <row r="377" spans="1:6" x14ac:dyDescent="0.25">
      <c r="A377" s="35" t="s">
        <v>184</v>
      </c>
      <c r="B377" s="8" t="s">
        <v>501</v>
      </c>
      <c r="C377" s="12">
        <v>42</v>
      </c>
      <c r="D377" s="12">
        <v>4</v>
      </c>
      <c r="E377" s="12">
        <v>274</v>
      </c>
      <c r="F377" s="49">
        <f t="shared" si="34"/>
        <v>0.16788321167883211</v>
      </c>
    </row>
    <row r="378" spans="1:6" x14ac:dyDescent="0.25">
      <c r="A378" s="35" t="s">
        <v>184</v>
      </c>
      <c r="B378" s="8" t="s">
        <v>502</v>
      </c>
      <c r="C378" s="12">
        <v>42</v>
      </c>
      <c r="D378" s="12">
        <v>6</v>
      </c>
      <c r="E378" s="12">
        <v>271</v>
      </c>
      <c r="F378" s="49">
        <f t="shared" si="34"/>
        <v>0.17712177121771217</v>
      </c>
    </row>
    <row r="379" spans="1:6" x14ac:dyDescent="0.25">
      <c r="A379" s="35" t="s">
        <v>184</v>
      </c>
      <c r="B379" s="8" t="s">
        <v>503</v>
      </c>
      <c r="C379" s="12">
        <v>126</v>
      </c>
      <c r="D379" s="12">
        <v>15</v>
      </c>
      <c r="E379" s="12">
        <v>660</v>
      </c>
      <c r="F379" s="49">
        <f t="shared" si="34"/>
        <v>0.21363636363636362</v>
      </c>
    </row>
    <row r="380" spans="1:6" x14ac:dyDescent="0.25">
      <c r="A380" s="35" t="s">
        <v>184</v>
      </c>
      <c r="B380" s="8" t="s">
        <v>504</v>
      </c>
      <c r="C380" s="12">
        <v>6</v>
      </c>
      <c r="D380" s="12">
        <v>4</v>
      </c>
      <c r="E380" s="12">
        <v>66</v>
      </c>
      <c r="F380" s="49">
        <f t="shared" si="34"/>
        <v>0.15151515151515152</v>
      </c>
    </row>
    <row r="381" spans="1:6" x14ac:dyDescent="0.25">
      <c r="A381" s="35" t="s">
        <v>184</v>
      </c>
      <c r="B381" s="8" t="s">
        <v>505</v>
      </c>
      <c r="C381" s="12">
        <v>20</v>
      </c>
      <c r="D381" s="12">
        <v>0</v>
      </c>
      <c r="E381" s="12">
        <v>117</v>
      </c>
      <c r="F381" s="49">
        <f t="shared" si="34"/>
        <v>0.17094017094017094</v>
      </c>
    </row>
    <row r="382" spans="1:6" x14ac:dyDescent="0.25">
      <c r="A382" s="35" t="s">
        <v>184</v>
      </c>
      <c r="B382" s="8" t="s">
        <v>506</v>
      </c>
      <c r="C382" s="12">
        <v>8</v>
      </c>
      <c r="D382" s="12">
        <v>0</v>
      </c>
      <c r="E382" s="12">
        <v>48</v>
      </c>
      <c r="F382" s="49">
        <f>(C382+D382)/E382</f>
        <v>0.16666666666666666</v>
      </c>
    </row>
    <row r="383" spans="1:6" x14ac:dyDescent="0.25">
      <c r="A383" s="35" t="s">
        <v>184</v>
      </c>
      <c r="B383" s="8" t="s">
        <v>507</v>
      </c>
      <c r="C383" s="12">
        <v>9</v>
      </c>
      <c r="D383" s="12">
        <v>0</v>
      </c>
      <c r="E383" s="12">
        <v>89</v>
      </c>
      <c r="F383" s="49">
        <f>(C383+D383)/E383</f>
        <v>0.10112359550561797</v>
      </c>
    </row>
    <row r="384" spans="1:6" x14ac:dyDescent="0.25">
      <c r="A384" s="35" t="s">
        <v>184</v>
      </c>
      <c r="B384" s="8" t="s">
        <v>483</v>
      </c>
      <c r="C384" s="12">
        <f>E384*0.6269</f>
        <v>90.273600000000002</v>
      </c>
      <c r="D384" s="12">
        <v>0</v>
      </c>
      <c r="E384" s="12">
        <v>144</v>
      </c>
      <c r="F384" s="49">
        <v>0.62690000000000001</v>
      </c>
    </row>
    <row r="385" spans="1:6" x14ac:dyDescent="0.25">
      <c r="A385" s="35" t="s">
        <v>184</v>
      </c>
      <c r="B385" s="8" t="s">
        <v>296</v>
      </c>
      <c r="C385" s="12">
        <f>E385*0.677</f>
        <v>68.37700000000001</v>
      </c>
      <c r="D385" s="12">
        <v>0</v>
      </c>
      <c r="E385" s="12">
        <v>101</v>
      </c>
      <c r="F385" s="49">
        <v>0.67700000000000005</v>
      </c>
    </row>
    <row r="386" spans="1:6" x14ac:dyDescent="0.25">
      <c r="A386" s="35" t="s">
        <v>184</v>
      </c>
      <c r="B386" s="8" t="s">
        <v>297</v>
      </c>
      <c r="C386" s="12">
        <f>E386*0.7238</f>
        <v>190.35939999999999</v>
      </c>
      <c r="D386" s="12">
        <v>0</v>
      </c>
      <c r="E386" s="12">
        <v>263</v>
      </c>
      <c r="F386" s="49">
        <v>0.7238</v>
      </c>
    </row>
    <row r="387" spans="1:6" x14ac:dyDescent="0.25">
      <c r="A387" s="39" t="s">
        <v>439</v>
      </c>
      <c r="B387" s="6" t="s">
        <v>397</v>
      </c>
      <c r="C387" s="7">
        <f>SUM(C388:C399)</f>
        <v>1981.9887999999996</v>
      </c>
      <c r="D387" s="7">
        <f>SUM(D388:D399)</f>
        <v>0</v>
      </c>
      <c r="E387" s="7">
        <f>SUM(E388:E399)</f>
        <v>2063</v>
      </c>
      <c r="F387" s="45">
        <f t="shared" ref="F387:F437" si="38">(C387+D387)/E387</f>
        <v>0.96073136209403764</v>
      </c>
    </row>
    <row r="388" spans="1:6" x14ac:dyDescent="0.25">
      <c r="A388" s="35" t="s">
        <v>185</v>
      </c>
      <c r="B388" s="8" t="s">
        <v>298</v>
      </c>
      <c r="C388" s="36">
        <f t="shared" ref="C388:C392" si="39">E388*1</f>
        <v>77</v>
      </c>
      <c r="D388" s="12">
        <v>0</v>
      </c>
      <c r="E388" s="12">
        <v>77</v>
      </c>
      <c r="F388" s="48">
        <v>1</v>
      </c>
    </row>
    <row r="389" spans="1:6" x14ac:dyDescent="0.25">
      <c r="A389" s="35" t="s">
        <v>185</v>
      </c>
      <c r="B389" s="8" t="s">
        <v>299</v>
      </c>
      <c r="C389" s="36">
        <f t="shared" si="39"/>
        <v>228</v>
      </c>
      <c r="D389" s="12">
        <v>0</v>
      </c>
      <c r="E389" s="12">
        <v>228</v>
      </c>
      <c r="F389" s="48">
        <v>1</v>
      </c>
    </row>
    <row r="390" spans="1:6" x14ac:dyDescent="0.25">
      <c r="A390" s="35" t="s">
        <v>185</v>
      </c>
      <c r="B390" s="8" t="s">
        <v>300</v>
      </c>
      <c r="C390" s="36">
        <f t="shared" si="39"/>
        <v>178</v>
      </c>
      <c r="D390" s="12">
        <v>0</v>
      </c>
      <c r="E390" s="12">
        <v>178</v>
      </c>
      <c r="F390" s="48">
        <v>1</v>
      </c>
    </row>
    <row r="391" spans="1:6" x14ac:dyDescent="0.25">
      <c r="A391" s="35" t="s">
        <v>185</v>
      </c>
      <c r="B391" s="8" t="s">
        <v>301</v>
      </c>
      <c r="C391" s="36">
        <f t="shared" si="39"/>
        <v>268</v>
      </c>
      <c r="D391" s="12">
        <v>0</v>
      </c>
      <c r="E391" s="12">
        <v>268</v>
      </c>
      <c r="F391" s="48">
        <v>1</v>
      </c>
    </row>
    <row r="392" spans="1:6" x14ac:dyDescent="0.25">
      <c r="A392" s="35" t="s">
        <v>185</v>
      </c>
      <c r="B392" s="8" t="s">
        <v>302</v>
      </c>
      <c r="C392" s="36">
        <f t="shared" si="39"/>
        <v>51</v>
      </c>
      <c r="D392" s="12">
        <v>0</v>
      </c>
      <c r="E392" s="12">
        <v>51</v>
      </c>
      <c r="F392" s="48">
        <v>1</v>
      </c>
    </row>
    <row r="393" spans="1:6" x14ac:dyDescent="0.25">
      <c r="A393" s="35" t="s">
        <v>185</v>
      </c>
      <c r="B393" s="8" t="s">
        <v>303</v>
      </c>
      <c r="C393" s="12">
        <f>E393*0.8547</f>
        <v>308.54669999999999</v>
      </c>
      <c r="D393" s="12">
        <v>0</v>
      </c>
      <c r="E393" s="12">
        <v>361</v>
      </c>
      <c r="F393" s="49">
        <v>0.85470000000000002</v>
      </c>
    </row>
    <row r="394" spans="1:6" x14ac:dyDescent="0.25">
      <c r="A394" s="35" t="s">
        <v>185</v>
      </c>
      <c r="B394" s="8" t="s">
        <v>304</v>
      </c>
      <c r="C394" s="36">
        <f t="shared" ref="C394:C395" si="40">E394*1</f>
        <v>119</v>
      </c>
      <c r="D394" s="12">
        <v>0</v>
      </c>
      <c r="E394" s="12">
        <v>119</v>
      </c>
      <c r="F394" s="48">
        <v>1</v>
      </c>
    </row>
    <row r="395" spans="1:6" x14ac:dyDescent="0.25">
      <c r="A395" s="35" t="s">
        <v>185</v>
      </c>
      <c r="B395" s="8" t="s">
        <v>305</v>
      </c>
      <c r="C395" s="36">
        <f t="shared" si="40"/>
        <v>55</v>
      </c>
      <c r="D395" s="12">
        <v>0</v>
      </c>
      <c r="E395" s="12">
        <v>55</v>
      </c>
      <c r="F395" s="48">
        <v>1</v>
      </c>
    </row>
    <row r="396" spans="1:6" x14ac:dyDescent="0.25">
      <c r="A396" s="35" t="s">
        <v>185</v>
      </c>
      <c r="B396" s="8" t="s">
        <v>331</v>
      </c>
      <c r="C396" s="12">
        <f>E396*0.9739</f>
        <v>321.387</v>
      </c>
      <c r="D396" s="12">
        <v>0</v>
      </c>
      <c r="E396" s="12">
        <v>330</v>
      </c>
      <c r="F396" s="49">
        <v>0.97389999999999999</v>
      </c>
    </row>
    <row r="397" spans="1:6" x14ac:dyDescent="0.25">
      <c r="A397" s="35" t="s">
        <v>185</v>
      </c>
      <c r="B397" s="8" t="s">
        <v>306</v>
      </c>
      <c r="C397" s="12">
        <f>E397*0.9274</f>
        <v>152.09360000000001</v>
      </c>
      <c r="D397" s="12">
        <v>0</v>
      </c>
      <c r="E397" s="12">
        <v>164</v>
      </c>
      <c r="F397" s="49">
        <v>0.9274</v>
      </c>
    </row>
    <row r="398" spans="1:6" x14ac:dyDescent="0.25">
      <c r="A398" s="35" t="s">
        <v>185</v>
      </c>
      <c r="B398" s="8" t="s">
        <v>307</v>
      </c>
      <c r="C398" s="36">
        <f t="shared" ref="C398" si="41">E398*1</f>
        <v>163</v>
      </c>
      <c r="D398" s="12">
        <v>0</v>
      </c>
      <c r="E398" s="12">
        <v>163</v>
      </c>
      <c r="F398" s="48">
        <v>1</v>
      </c>
    </row>
    <row r="399" spans="1:6" x14ac:dyDescent="0.25">
      <c r="A399" s="35" t="s">
        <v>185</v>
      </c>
      <c r="B399" s="8" t="s">
        <v>308</v>
      </c>
      <c r="C399" s="12">
        <f>E399*0.8835</f>
        <v>60.961499999999994</v>
      </c>
      <c r="D399" s="12">
        <v>0</v>
      </c>
      <c r="E399" s="12">
        <v>69</v>
      </c>
      <c r="F399" s="49">
        <v>0.88349999999999995</v>
      </c>
    </row>
    <row r="400" spans="1:6" x14ac:dyDescent="0.25">
      <c r="A400" s="39" t="s">
        <v>440</v>
      </c>
      <c r="B400" s="6" t="s">
        <v>397</v>
      </c>
      <c r="C400" s="7">
        <f>SUM(C401:C403)</f>
        <v>221</v>
      </c>
      <c r="D400" s="7">
        <f>SUM(D401:D403)</f>
        <v>42</v>
      </c>
      <c r="E400" s="7">
        <f>SUM(E401:E403)</f>
        <v>473</v>
      </c>
      <c r="F400" s="45">
        <f t="shared" si="38"/>
        <v>0.55602536997885832</v>
      </c>
    </row>
    <row r="401" spans="1:6" x14ac:dyDescent="0.25">
      <c r="A401" s="35" t="s">
        <v>186</v>
      </c>
      <c r="B401" s="8" t="s">
        <v>187</v>
      </c>
      <c r="C401" s="12">
        <v>51</v>
      </c>
      <c r="D401" s="12">
        <v>11</v>
      </c>
      <c r="E401" s="12">
        <v>113</v>
      </c>
      <c r="F401" s="49">
        <f t="shared" si="38"/>
        <v>0.54867256637168138</v>
      </c>
    </row>
    <row r="402" spans="1:6" x14ac:dyDescent="0.25">
      <c r="A402" s="35" t="s">
        <v>186</v>
      </c>
      <c r="B402" s="62" t="s">
        <v>499</v>
      </c>
      <c r="C402" s="12">
        <v>67</v>
      </c>
      <c r="D402" s="12">
        <v>6</v>
      </c>
      <c r="E402" s="12">
        <v>133</v>
      </c>
      <c r="F402" s="49">
        <f t="shared" si="38"/>
        <v>0.54887218045112784</v>
      </c>
    </row>
    <row r="403" spans="1:6" x14ac:dyDescent="0.25">
      <c r="A403" s="35" t="s">
        <v>186</v>
      </c>
      <c r="B403" s="8" t="s">
        <v>188</v>
      </c>
      <c r="C403" s="12">
        <v>103</v>
      </c>
      <c r="D403" s="12">
        <v>25</v>
      </c>
      <c r="E403" s="12">
        <v>227</v>
      </c>
      <c r="F403" s="49">
        <f t="shared" si="38"/>
        <v>0.56387665198237891</v>
      </c>
    </row>
    <row r="404" spans="1:6" x14ac:dyDescent="0.25">
      <c r="A404" s="39" t="s">
        <v>400</v>
      </c>
      <c r="B404" s="6" t="s">
        <v>397</v>
      </c>
      <c r="C404" s="18">
        <f>SUM(C405)</f>
        <v>205</v>
      </c>
      <c r="D404" s="18">
        <f>SUM(D405)</f>
        <v>0</v>
      </c>
      <c r="E404" s="18">
        <f>SUM(E405)</f>
        <v>205</v>
      </c>
      <c r="F404" s="45">
        <f t="shared" si="38"/>
        <v>1</v>
      </c>
    </row>
    <row r="405" spans="1:6" x14ac:dyDescent="0.25">
      <c r="A405" s="35" t="s">
        <v>189</v>
      </c>
      <c r="B405" s="8" t="s">
        <v>309</v>
      </c>
      <c r="C405" s="36">
        <f t="shared" ref="C405" si="42">E405*1</f>
        <v>205</v>
      </c>
      <c r="D405" s="12">
        <v>0</v>
      </c>
      <c r="E405" s="12">
        <v>205</v>
      </c>
      <c r="F405" s="44">
        <f t="shared" si="38"/>
        <v>1</v>
      </c>
    </row>
    <row r="406" spans="1:6" x14ac:dyDescent="0.25">
      <c r="A406" s="39" t="s">
        <v>401</v>
      </c>
      <c r="B406" s="6" t="s">
        <v>397</v>
      </c>
      <c r="C406" s="18">
        <f>SUM(C407:C411)</f>
        <v>428</v>
      </c>
      <c r="D406" s="18">
        <f>SUM(D407:D411)</f>
        <v>103</v>
      </c>
      <c r="E406" s="18">
        <f>SUM(E407:E411)</f>
        <v>1186</v>
      </c>
      <c r="F406" s="45">
        <f t="shared" si="38"/>
        <v>0.44772344013490722</v>
      </c>
    </row>
    <row r="407" spans="1:6" x14ac:dyDescent="0.25">
      <c r="A407" s="35" t="s">
        <v>190</v>
      </c>
      <c r="B407" s="8" t="s">
        <v>191</v>
      </c>
      <c r="C407" s="12">
        <v>65</v>
      </c>
      <c r="D407" s="12">
        <v>12</v>
      </c>
      <c r="E407" s="12">
        <v>183</v>
      </c>
      <c r="F407" s="44">
        <f t="shared" si="38"/>
        <v>0.42076502732240439</v>
      </c>
    </row>
    <row r="408" spans="1:6" x14ac:dyDescent="0.25">
      <c r="A408" s="35" t="s">
        <v>190</v>
      </c>
      <c r="B408" s="8" t="s">
        <v>192</v>
      </c>
      <c r="C408" s="12">
        <v>96</v>
      </c>
      <c r="D408" s="12">
        <v>28</v>
      </c>
      <c r="E408" s="12">
        <v>289</v>
      </c>
      <c r="F408" s="44">
        <f t="shared" si="38"/>
        <v>0.4290657439446367</v>
      </c>
    </row>
    <row r="409" spans="1:6" x14ac:dyDescent="0.25">
      <c r="A409" s="35" t="s">
        <v>190</v>
      </c>
      <c r="B409" s="8" t="s">
        <v>193</v>
      </c>
      <c r="C409" s="12">
        <v>133</v>
      </c>
      <c r="D409" s="12">
        <v>33</v>
      </c>
      <c r="E409" s="12">
        <v>365</v>
      </c>
      <c r="F409" s="44">
        <f t="shared" si="38"/>
        <v>0.45479452054794522</v>
      </c>
    </row>
    <row r="410" spans="1:6" x14ac:dyDescent="0.25">
      <c r="A410" s="35" t="s">
        <v>190</v>
      </c>
      <c r="B410" s="8" t="s">
        <v>194</v>
      </c>
      <c r="C410" s="12">
        <v>22</v>
      </c>
      <c r="D410" s="12">
        <v>5</v>
      </c>
      <c r="E410" s="12">
        <v>37</v>
      </c>
      <c r="F410" s="44">
        <f t="shared" si="38"/>
        <v>0.72972972972972971</v>
      </c>
    </row>
    <row r="411" spans="1:6" x14ac:dyDescent="0.25">
      <c r="A411" s="35" t="s">
        <v>190</v>
      </c>
      <c r="B411" s="8" t="s">
        <v>195</v>
      </c>
      <c r="C411" s="12">
        <v>112</v>
      </c>
      <c r="D411" s="12">
        <v>25</v>
      </c>
      <c r="E411" s="12">
        <v>312</v>
      </c>
      <c r="F411" s="44">
        <f t="shared" si="38"/>
        <v>0.4391025641025641</v>
      </c>
    </row>
    <row r="412" spans="1:6" x14ac:dyDescent="0.25">
      <c r="A412" s="39" t="s">
        <v>402</v>
      </c>
      <c r="B412" s="6" t="s">
        <v>397</v>
      </c>
      <c r="C412" s="18">
        <f>SUM(C413:C420)</f>
        <v>112.27279999999999</v>
      </c>
      <c r="D412" s="18">
        <f>SUM(D413:D420)</f>
        <v>1</v>
      </c>
      <c r="E412" s="18">
        <f>SUM(E413:E420)</f>
        <v>179</v>
      </c>
      <c r="F412" s="45">
        <f t="shared" si="38"/>
        <v>0.63280893854748599</v>
      </c>
    </row>
    <row r="413" spans="1:6" x14ac:dyDescent="0.25">
      <c r="A413" s="35" t="s">
        <v>196</v>
      </c>
      <c r="B413" s="8" t="s">
        <v>361</v>
      </c>
      <c r="C413" s="12">
        <f>E413*0.4869</f>
        <v>11.198700000000001</v>
      </c>
      <c r="D413" s="12">
        <v>0</v>
      </c>
      <c r="E413" s="12">
        <v>23</v>
      </c>
      <c r="F413" s="49">
        <v>0.4869</v>
      </c>
    </row>
    <row r="414" spans="1:6" x14ac:dyDescent="0.25">
      <c r="A414" s="35" t="s">
        <v>196</v>
      </c>
      <c r="B414" s="8" t="s">
        <v>362</v>
      </c>
      <c r="C414" s="12">
        <f>E414*0.4923</f>
        <v>8.8613999999999997</v>
      </c>
      <c r="D414" s="12">
        <v>0</v>
      </c>
      <c r="E414" s="12">
        <v>18</v>
      </c>
      <c r="F414" s="49">
        <v>0.49230000000000002</v>
      </c>
    </row>
    <row r="415" spans="1:6" x14ac:dyDescent="0.25">
      <c r="A415" s="35" t="s">
        <v>196</v>
      </c>
      <c r="B415" s="8" t="s">
        <v>214</v>
      </c>
      <c r="C415" s="12">
        <v>2</v>
      </c>
      <c r="D415" s="12">
        <v>0</v>
      </c>
      <c r="E415" s="12">
        <v>12</v>
      </c>
      <c r="F415" s="47">
        <f t="shared" ref="F415" si="43">(C415+D415)/E415</f>
        <v>0.16666666666666666</v>
      </c>
    </row>
    <row r="416" spans="1:6" x14ac:dyDescent="0.25">
      <c r="A416" s="35" t="s">
        <v>196</v>
      </c>
      <c r="B416" s="8" t="s">
        <v>363</v>
      </c>
      <c r="C416" s="12">
        <f>E416*0.96</f>
        <v>12.48</v>
      </c>
      <c r="D416" s="12">
        <v>0</v>
      </c>
      <c r="E416" s="12">
        <v>13</v>
      </c>
      <c r="F416" s="49">
        <v>0.96</v>
      </c>
    </row>
    <row r="417" spans="1:6" x14ac:dyDescent="0.25">
      <c r="A417" s="35" t="s">
        <v>196</v>
      </c>
      <c r="B417" s="8" t="s">
        <v>364</v>
      </c>
      <c r="C417" s="12">
        <v>20</v>
      </c>
      <c r="D417" s="12">
        <v>0</v>
      </c>
      <c r="E417" s="12">
        <v>20</v>
      </c>
      <c r="F417" s="49">
        <v>1</v>
      </c>
    </row>
    <row r="418" spans="1:6" x14ac:dyDescent="0.25">
      <c r="A418" s="35" t="s">
        <v>196</v>
      </c>
      <c r="B418" s="8" t="s">
        <v>197</v>
      </c>
      <c r="C418" s="12">
        <v>10</v>
      </c>
      <c r="D418" s="12">
        <v>0</v>
      </c>
      <c r="E418" s="12">
        <v>16</v>
      </c>
      <c r="F418" s="47">
        <f t="shared" ref="F418:F419" si="44">(C418+D418)/E418</f>
        <v>0.625</v>
      </c>
    </row>
    <row r="419" spans="1:6" x14ac:dyDescent="0.25">
      <c r="A419" s="35" t="s">
        <v>196</v>
      </c>
      <c r="B419" s="8" t="s">
        <v>198</v>
      </c>
      <c r="C419" s="12">
        <v>30</v>
      </c>
      <c r="D419" s="12">
        <v>1</v>
      </c>
      <c r="E419" s="12">
        <v>58</v>
      </c>
      <c r="F419" s="47">
        <f t="shared" si="44"/>
        <v>0.53448275862068961</v>
      </c>
    </row>
    <row r="420" spans="1:6" x14ac:dyDescent="0.25">
      <c r="A420" s="35" t="s">
        <v>196</v>
      </c>
      <c r="B420" s="8" t="s">
        <v>365</v>
      </c>
      <c r="C420" s="12">
        <f>E420*0.9333</f>
        <v>17.732700000000001</v>
      </c>
      <c r="D420" s="12">
        <v>0</v>
      </c>
      <c r="E420" s="12">
        <v>19</v>
      </c>
      <c r="F420" s="49">
        <v>0.93330000000000002</v>
      </c>
    </row>
    <row r="421" spans="1:6" x14ac:dyDescent="0.25">
      <c r="A421" s="39" t="s">
        <v>403</v>
      </c>
      <c r="B421" s="6" t="s">
        <v>397</v>
      </c>
      <c r="C421" s="18">
        <f>SUM(C422:C429)</f>
        <v>622.74699999999996</v>
      </c>
      <c r="D421" s="18">
        <f>SUM(D422:D429)</f>
        <v>0</v>
      </c>
      <c r="E421" s="18">
        <f>SUM(E422:E429)</f>
        <v>647</v>
      </c>
      <c r="F421" s="45">
        <f t="shared" si="38"/>
        <v>0.96251468315301381</v>
      </c>
    </row>
    <row r="422" spans="1:6" x14ac:dyDescent="0.25">
      <c r="A422" s="35" t="s">
        <v>199</v>
      </c>
      <c r="B422" s="8" t="s">
        <v>310</v>
      </c>
      <c r="C422" s="12">
        <f>E422*0.5714</f>
        <v>21.1418</v>
      </c>
      <c r="D422" s="12">
        <v>0</v>
      </c>
      <c r="E422" s="12">
        <v>37</v>
      </c>
      <c r="F422" s="47">
        <v>0.57140000000000002</v>
      </c>
    </row>
    <row r="423" spans="1:6" x14ac:dyDescent="0.25">
      <c r="A423" s="35" t="s">
        <v>199</v>
      </c>
      <c r="B423" s="8" t="s">
        <v>311</v>
      </c>
      <c r="C423" s="36">
        <f t="shared" ref="C423" si="45">E423*1</f>
        <v>148</v>
      </c>
      <c r="D423" s="12">
        <v>0</v>
      </c>
      <c r="E423" s="12">
        <v>148</v>
      </c>
      <c r="F423" s="47">
        <v>1</v>
      </c>
    </row>
    <row r="424" spans="1:6" x14ac:dyDescent="0.25">
      <c r="A424" s="35" t="s">
        <v>199</v>
      </c>
      <c r="B424" s="8" t="s">
        <v>200</v>
      </c>
      <c r="C424" s="12">
        <f>E424*0.4923</f>
        <v>6.8921999999999999</v>
      </c>
      <c r="D424" s="12">
        <v>0</v>
      </c>
      <c r="E424" s="12">
        <v>14</v>
      </c>
      <c r="F424" s="47">
        <v>0.49230000000000002</v>
      </c>
    </row>
    <row r="425" spans="1:6" x14ac:dyDescent="0.25">
      <c r="A425" s="35" t="s">
        <v>199</v>
      </c>
      <c r="B425" s="8" t="s">
        <v>312</v>
      </c>
      <c r="C425" s="36">
        <f t="shared" ref="C425:C428" si="46">E425*1</f>
        <v>60</v>
      </c>
      <c r="D425" s="12">
        <v>0</v>
      </c>
      <c r="E425" s="12">
        <v>60</v>
      </c>
      <c r="F425" s="47">
        <v>1</v>
      </c>
    </row>
    <row r="426" spans="1:6" x14ac:dyDescent="0.25">
      <c r="A426" s="35" t="s">
        <v>199</v>
      </c>
      <c r="B426" s="8" t="s">
        <v>313</v>
      </c>
      <c r="C426" s="36">
        <f t="shared" si="46"/>
        <v>121</v>
      </c>
      <c r="D426" s="12">
        <v>0</v>
      </c>
      <c r="E426" s="12">
        <v>121</v>
      </c>
      <c r="F426" s="47">
        <v>1</v>
      </c>
    </row>
    <row r="427" spans="1:6" x14ac:dyDescent="0.25">
      <c r="A427" s="35" t="s">
        <v>199</v>
      </c>
      <c r="B427" s="8" t="s">
        <v>314</v>
      </c>
      <c r="C427" s="36">
        <f t="shared" si="46"/>
        <v>226</v>
      </c>
      <c r="D427" s="12">
        <v>0</v>
      </c>
      <c r="E427" s="12">
        <v>226</v>
      </c>
      <c r="F427" s="47">
        <v>1</v>
      </c>
    </row>
    <row r="428" spans="1:6" x14ac:dyDescent="0.25">
      <c r="A428" s="35" t="s">
        <v>199</v>
      </c>
      <c r="B428" s="8" t="s">
        <v>315</v>
      </c>
      <c r="C428" s="36">
        <f t="shared" si="46"/>
        <v>26</v>
      </c>
      <c r="D428" s="12">
        <v>0</v>
      </c>
      <c r="E428" s="12">
        <v>26</v>
      </c>
      <c r="F428" s="47">
        <v>1</v>
      </c>
    </row>
    <row r="429" spans="1:6" x14ac:dyDescent="0.25">
      <c r="A429" s="35" t="s">
        <v>199</v>
      </c>
      <c r="B429" s="8" t="s">
        <v>316</v>
      </c>
      <c r="C429" s="12">
        <f>E429*0.9142</f>
        <v>13.713000000000001</v>
      </c>
      <c r="D429" s="12">
        <v>0</v>
      </c>
      <c r="E429" s="12">
        <v>15</v>
      </c>
      <c r="F429" s="47">
        <v>0.91420000000000001</v>
      </c>
    </row>
    <row r="430" spans="1:6" x14ac:dyDescent="0.25">
      <c r="A430" s="39" t="s">
        <v>404</v>
      </c>
      <c r="B430" s="6" t="s">
        <v>397</v>
      </c>
      <c r="C430" s="18">
        <f>SUM(C431:C432)</f>
        <v>56</v>
      </c>
      <c r="D430" s="18">
        <f>SUM(D431:D432)</f>
        <v>26</v>
      </c>
      <c r="E430" s="18">
        <f>SUM(E431:E432)</f>
        <v>435</v>
      </c>
      <c r="F430" s="45">
        <f t="shared" si="38"/>
        <v>0.18850574712643678</v>
      </c>
    </row>
    <row r="431" spans="1:6" x14ac:dyDescent="0.25">
      <c r="A431" s="35" t="s">
        <v>201</v>
      </c>
      <c r="B431" s="8" t="s">
        <v>202</v>
      </c>
      <c r="C431" s="12">
        <v>37</v>
      </c>
      <c r="D431" s="12">
        <v>18</v>
      </c>
      <c r="E431" s="12">
        <v>256</v>
      </c>
      <c r="F431" s="49">
        <f t="shared" si="38"/>
        <v>0.21484375</v>
      </c>
    </row>
    <row r="432" spans="1:6" x14ac:dyDescent="0.25">
      <c r="A432" s="35" t="s">
        <v>201</v>
      </c>
      <c r="B432" s="8" t="s">
        <v>203</v>
      </c>
      <c r="C432" s="12">
        <v>19</v>
      </c>
      <c r="D432" s="12">
        <v>8</v>
      </c>
      <c r="E432" s="12">
        <v>179</v>
      </c>
      <c r="F432" s="49">
        <f t="shared" si="38"/>
        <v>0.15083798882681565</v>
      </c>
    </row>
    <row r="433" spans="1:6" x14ac:dyDescent="0.25">
      <c r="A433" s="39" t="s">
        <v>405</v>
      </c>
      <c r="B433" s="6" t="s">
        <v>397</v>
      </c>
      <c r="C433" s="18">
        <f>SUM(C434:C436)</f>
        <v>207</v>
      </c>
      <c r="D433" s="18">
        <f>SUM(D434:D436)</f>
        <v>25</v>
      </c>
      <c r="E433" s="18">
        <f>SUM(E434:E436)</f>
        <v>753</v>
      </c>
      <c r="F433" s="45">
        <f t="shared" si="38"/>
        <v>0.30810092961487384</v>
      </c>
    </row>
    <row r="434" spans="1:6" x14ac:dyDescent="0.25">
      <c r="A434" s="35" t="s">
        <v>204</v>
      </c>
      <c r="B434" s="8" t="s">
        <v>213</v>
      </c>
      <c r="C434" s="12">
        <v>40</v>
      </c>
      <c r="D434" s="12">
        <v>7</v>
      </c>
      <c r="E434" s="12">
        <v>159</v>
      </c>
      <c r="F434" s="49">
        <f t="shared" si="38"/>
        <v>0.29559748427672955</v>
      </c>
    </row>
    <row r="435" spans="1:6" x14ac:dyDescent="0.25">
      <c r="A435" s="35" t="s">
        <v>204</v>
      </c>
      <c r="B435" s="8" t="s">
        <v>205</v>
      </c>
      <c r="C435" s="12">
        <v>109</v>
      </c>
      <c r="D435" s="12">
        <v>15</v>
      </c>
      <c r="E435" s="12">
        <v>388</v>
      </c>
      <c r="F435" s="49">
        <f>(C435+D435)/E435</f>
        <v>0.31958762886597936</v>
      </c>
    </row>
    <row r="436" spans="1:6" x14ac:dyDescent="0.25">
      <c r="A436" s="35" t="s">
        <v>204</v>
      </c>
      <c r="B436" s="8" t="s">
        <v>206</v>
      </c>
      <c r="C436" s="12">
        <v>58</v>
      </c>
      <c r="D436" s="12">
        <v>3</v>
      </c>
      <c r="E436" s="12">
        <v>206</v>
      </c>
      <c r="F436" s="49">
        <f>(C436+D436)/E436</f>
        <v>0.29611650485436891</v>
      </c>
    </row>
    <row r="437" spans="1:6" x14ac:dyDescent="0.25">
      <c r="A437" s="39" t="s">
        <v>406</v>
      </c>
      <c r="B437" s="6" t="s">
        <v>397</v>
      </c>
      <c r="C437" s="18">
        <f>SUM(C438:C443)</f>
        <v>205.61320000000001</v>
      </c>
      <c r="D437" s="18">
        <f>SUM(D438:D443)</f>
        <v>0</v>
      </c>
      <c r="E437" s="18">
        <f>SUM(E438:E443)</f>
        <v>220</v>
      </c>
      <c r="F437" s="45">
        <f t="shared" si="38"/>
        <v>0.93460545454545463</v>
      </c>
    </row>
    <row r="438" spans="1:6" x14ac:dyDescent="0.25">
      <c r="A438" s="35" t="s">
        <v>207</v>
      </c>
      <c r="B438" s="8" t="s">
        <v>317</v>
      </c>
      <c r="C438" s="36">
        <f t="shared" ref="C438:C442" si="47">E438*1</f>
        <v>36</v>
      </c>
      <c r="D438" s="28">
        <v>0</v>
      </c>
      <c r="E438" s="28">
        <v>36</v>
      </c>
      <c r="F438" s="49">
        <v>1</v>
      </c>
    </row>
    <row r="439" spans="1:6" x14ac:dyDescent="0.25">
      <c r="A439" s="35" t="s">
        <v>207</v>
      </c>
      <c r="B439" s="8" t="s">
        <v>318</v>
      </c>
      <c r="C439" s="36">
        <f t="shared" si="47"/>
        <v>15</v>
      </c>
      <c r="D439" s="28">
        <v>0</v>
      </c>
      <c r="E439" s="28">
        <v>15</v>
      </c>
      <c r="F439" s="49">
        <v>1</v>
      </c>
    </row>
    <row r="440" spans="1:6" x14ac:dyDescent="0.25">
      <c r="A440" s="35" t="s">
        <v>207</v>
      </c>
      <c r="B440" s="8" t="s">
        <v>319</v>
      </c>
      <c r="C440" s="36">
        <f t="shared" si="47"/>
        <v>12</v>
      </c>
      <c r="D440" s="28">
        <v>0</v>
      </c>
      <c r="E440" s="28">
        <v>12</v>
      </c>
      <c r="F440" s="49">
        <v>1</v>
      </c>
    </row>
    <row r="441" spans="1:6" x14ac:dyDescent="0.25">
      <c r="A441" s="35" t="s">
        <v>207</v>
      </c>
      <c r="B441" s="8" t="s">
        <v>320</v>
      </c>
      <c r="C441" s="36">
        <f>E441*0.8674</f>
        <v>84.137799999999999</v>
      </c>
      <c r="D441" s="28">
        <v>0</v>
      </c>
      <c r="E441" s="28">
        <v>97</v>
      </c>
      <c r="F441" s="49">
        <v>0.86719999999999997</v>
      </c>
    </row>
    <row r="442" spans="1:6" x14ac:dyDescent="0.25">
      <c r="A442" s="35" t="s">
        <v>207</v>
      </c>
      <c r="B442" s="8" t="s">
        <v>321</v>
      </c>
      <c r="C442" s="36">
        <f t="shared" si="47"/>
        <v>49</v>
      </c>
      <c r="D442" s="28">
        <v>0</v>
      </c>
      <c r="E442" s="28">
        <v>49</v>
      </c>
      <c r="F442" s="49">
        <v>1</v>
      </c>
    </row>
    <row r="443" spans="1:6" x14ac:dyDescent="0.25">
      <c r="A443" s="35" t="s">
        <v>207</v>
      </c>
      <c r="B443" s="8" t="s">
        <v>322</v>
      </c>
      <c r="C443" s="36">
        <f>E443*0.8614</f>
        <v>9.4754000000000005</v>
      </c>
      <c r="D443" s="28">
        <v>0</v>
      </c>
      <c r="E443" s="28">
        <v>11</v>
      </c>
      <c r="F443" s="49">
        <v>0.86140000000000005</v>
      </c>
    </row>
    <row r="444" spans="1:6" x14ac:dyDescent="0.25">
      <c r="A444" s="39" t="s">
        <v>399</v>
      </c>
      <c r="B444" s="6" t="s">
        <v>397</v>
      </c>
      <c r="C444" s="18">
        <f>SUM(C445:C454)</f>
        <v>279.57640000000004</v>
      </c>
      <c r="D444" s="18">
        <f>SUM(D445:D453)</f>
        <v>0</v>
      </c>
      <c r="E444" s="18">
        <f>SUM(E445:E454)</f>
        <v>310</v>
      </c>
      <c r="F444" s="45">
        <f t="shared" ref="F444:F455" si="48">(C444+D444)/E444</f>
        <v>0.90185935483870983</v>
      </c>
    </row>
    <row r="445" spans="1:6" x14ac:dyDescent="0.25">
      <c r="A445" s="35" t="s">
        <v>208</v>
      </c>
      <c r="B445" s="8" t="s">
        <v>323</v>
      </c>
      <c r="C445" s="36">
        <f t="shared" ref="C445:C446" si="49">E445*1</f>
        <v>33</v>
      </c>
      <c r="D445" s="12">
        <v>0</v>
      </c>
      <c r="E445" s="12">
        <v>33</v>
      </c>
      <c r="F445" s="48">
        <v>1</v>
      </c>
    </row>
    <row r="446" spans="1:6" x14ac:dyDescent="0.25">
      <c r="A446" s="35" t="s">
        <v>208</v>
      </c>
      <c r="B446" s="8" t="s">
        <v>324</v>
      </c>
      <c r="C446" s="36">
        <f t="shared" si="49"/>
        <v>49</v>
      </c>
      <c r="D446" s="12">
        <v>0</v>
      </c>
      <c r="E446" s="12">
        <v>49</v>
      </c>
      <c r="F446" s="48">
        <v>1</v>
      </c>
    </row>
    <row r="447" spans="1:6" x14ac:dyDescent="0.25">
      <c r="A447" s="35" t="s">
        <v>208</v>
      </c>
      <c r="B447" s="35" t="s">
        <v>371</v>
      </c>
      <c r="C447" s="12">
        <f>E447*0.8</f>
        <v>12.8</v>
      </c>
      <c r="D447" s="12">
        <v>0</v>
      </c>
      <c r="E447" s="12">
        <v>16</v>
      </c>
      <c r="F447" s="49">
        <v>0.8</v>
      </c>
    </row>
    <row r="448" spans="1:6" x14ac:dyDescent="0.25">
      <c r="A448" s="35" t="s">
        <v>208</v>
      </c>
      <c r="B448" s="31" t="s">
        <v>484</v>
      </c>
      <c r="C448" s="12">
        <v>0</v>
      </c>
      <c r="D448" s="12">
        <v>0</v>
      </c>
      <c r="E448" s="12">
        <v>0</v>
      </c>
      <c r="F448" s="49">
        <v>0</v>
      </c>
    </row>
    <row r="449" spans="1:6" x14ac:dyDescent="0.25">
      <c r="A449" s="35" t="s">
        <v>208</v>
      </c>
      <c r="B449" s="35" t="s">
        <v>485</v>
      </c>
      <c r="C449" s="36">
        <f t="shared" ref="C449:C450" si="50">E449*1</f>
        <v>80</v>
      </c>
      <c r="D449" s="12">
        <v>0</v>
      </c>
      <c r="E449" s="12">
        <v>80</v>
      </c>
      <c r="F449" s="48">
        <v>1</v>
      </c>
    </row>
    <row r="450" spans="1:6" x14ac:dyDescent="0.25">
      <c r="A450" s="35" t="s">
        <v>208</v>
      </c>
      <c r="B450" s="35" t="s">
        <v>373</v>
      </c>
      <c r="C450" s="36">
        <f t="shared" si="50"/>
        <v>18</v>
      </c>
      <c r="D450" s="56">
        <v>0</v>
      </c>
      <c r="E450" s="56">
        <v>18</v>
      </c>
      <c r="F450" s="48">
        <v>1</v>
      </c>
    </row>
    <row r="451" spans="1:6" x14ac:dyDescent="0.25">
      <c r="A451" s="35" t="s">
        <v>208</v>
      </c>
      <c r="B451" s="8" t="s">
        <v>325</v>
      </c>
      <c r="C451" s="12">
        <f>E451*0.3368</f>
        <v>7.7463999999999995</v>
      </c>
      <c r="D451" s="12">
        <v>0</v>
      </c>
      <c r="E451" s="12">
        <v>23</v>
      </c>
      <c r="F451" s="49">
        <v>0.33679999999999999</v>
      </c>
    </row>
    <row r="452" spans="1:6" x14ac:dyDescent="0.25">
      <c r="A452" s="35" t="s">
        <v>208</v>
      </c>
      <c r="B452" s="8" t="s">
        <v>326</v>
      </c>
      <c r="C452" s="36">
        <f t="shared" ref="C452" si="51">E452*1</f>
        <v>26</v>
      </c>
      <c r="D452" s="12">
        <v>0</v>
      </c>
      <c r="E452" s="12">
        <v>26</v>
      </c>
      <c r="F452" s="48">
        <v>1</v>
      </c>
    </row>
    <row r="453" spans="1:6" x14ac:dyDescent="0.25">
      <c r="A453" s="35" t="s">
        <v>208</v>
      </c>
      <c r="B453" s="8" t="s">
        <v>327</v>
      </c>
      <c r="C453" s="12">
        <f>E453*0.7606</f>
        <v>38.03</v>
      </c>
      <c r="D453" s="12">
        <v>0</v>
      </c>
      <c r="E453" s="12">
        <v>50</v>
      </c>
      <c r="F453" s="49">
        <v>0.76060000000000005</v>
      </c>
    </row>
    <row r="454" spans="1:6" x14ac:dyDescent="0.25">
      <c r="A454" s="35" t="s">
        <v>208</v>
      </c>
      <c r="B454" s="8" t="s">
        <v>372</v>
      </c>
      <c r="C454" s="36">
        <f t="shared" ref="C454" si="52">E454*1</f>
        <v>15</v>
      </c>
      <c r="D454" s="12">
        <v>0</v>
      </c>
      <c r="E454" s="12">
        <v>15</v>
      </c>
      <c r="F454" s="48">
        <v>1</v>
      </c>
    </row>
    <row r="455" spans="1:6" x14ac:dyDescent="0.25">
      <c r="A455" s="39" t="s">
        <v>398</v>
      </c>
      <c r="B455" s="6" t="s">
        <v>397</v>
      </c>
      <c r="C455" s="18">
        <f>SUM(C456:C458)</f>
        <v>463</v>
      </c>
      <c r="D455" s="18">
        <f>SUM(D456:D458)</f>
        <v>0</v>
      </c>
      <c r="E455" s="18">
        <f>SUM(E456:E458)</f>
        <v>463</v>
      </c>
      <c r="F455" s="45">
        <f t="shared" si="48"/>
        <v>1</v>
      </c>
    </row>
    <row r="456" spans="1:6" x14ac:dyDescent="0.25">
      <c r="A456" s="35" t="s">
        <v>209</v>
      </c>
      <c r="B456" s="8" t="s">
        <v>328</v>
      </c>
      <c r="C456" s="12">
        <f>E456*1</f>
        <v>212</v>
      </c>
      <c r="D456" s="12">
        <v>0</v>
      </c>
      <c r="E456" s="12">
        <v>212</v>
      </c>
      <c r="F456" s="49">
        <v>1</v>
      </c>
    </row>
    <row r="457" spans="1:6" x14ac:dyDescent="0.25">
      <c r="A457" s="35" t="s">
        <v>209</v>
      </c>
      <c r="B457" s="8" t="s">
        <v>329</v>
      </c>
      <c r="C457" s="12">
        <f t="shared" ref="C457:C458" si="53">E457*1</f>
        <v>134</v>
      </c>
      <c r="D457" s="12">
        <v>0</v>
      </c>
      <c r="E457" s="12">
        <v>134</v>
      </c>
      <c r="F457" s="49">
        <v>1</v>
      </c>
    </row>
    <row r="458" spans="1:6" ht="16.5" thickBot="1" x14ac:dyDescent="0.3">
      <c r="A458" s="43" t="s">
        <v>209</v>
      </c>
      <c r="B458" s="33" t="s">
        <v>330</v>
      </c>
      <c r="C458" s="34">
        <f t="shared" si="53"/>
        <v>117</v>
      </c>
      <c r="D458" s="34">
        <v>0</v>
      </c>
      <c r="E458" s="34">
        <v>117</v>
      </c>
      <c r="F458" s="61">
        <v>1</v>
      </c>
    </row>
    <row r="459" spans="1:6" x14ac:dyDescent="0.25">
      <c r="A459" s="57" t="s">
        <v>6</v>
      </c>
      <c r="B459" s="58" t="s">
        <v>397</v>
      </c>
      <c r="C459" s="59">
        <f>C3+C11+C95+C99+C115+C118+C122+C124+C127+C130+C134+C137+C171+C175+C177+C179+C181+C189+C203+C205+C207+C243+C252+C254+C268+C278+C291+C319+C330+C367+C369+C371+C375+C387+C400+C404+C406+C412+C421+C430+C433+C437+C444+C455</f>
        <v>52047.258999999998</v>
      </c>
      <c r="D459" s="59">
        <f>D3+D11+D95+D99+D115+D118+D122+D124+D127+D130+D134+D137+D171+D175+D177+D179+D181+D189+D203+D205+D207+D243+D252+D254+D268+D278+D291+D319+D330+D367+D369+D371+D375+D387+D400+D404+D406+D412+D421+D430+D433+D437+D444+D455</f>
        <v>4985</v>
      </c>
      <c r="E459" s="59">
        <f>E3+E11+E95+E99+E115+E118+E122+E124+E127+E130+E134+E137+E171+E175+E177+E179+E181+E189+E203+E205+E207+E243+E252+E254+E268+E278+E291+E319+E330+E367+E369+E371+E375+E387+E400+E404+E406+E412+E421+E430+E433+E437+E444+E455</f>
        <v>111656</v>
      </c>
      <c r="F459" s="60">
        <f>(C459+D459)/E459</f>
        <v>0.51078543920613306</v>
      </c>
    </row>
    <row r="460" spans="1:6" x14ac:dyDescent="0.25">
      <c r="A460" s="46" t="s">
        <v>441</v>
      </c>
      <c r="B460" s="30"/>
      <c r="C460" s="32"/>
      <c r="D460" s="32"/>
      <c r="E460" s="32"/>
      <c r="F460" s="52"/>
    </row>
    <row r="461" spans="1:6" x14ac:dyDescent="0.25"/>
    <row r="462" spans="1:6" x14ac:dyDescent="0.25"/>
    <row r="463" spans="1:6" x14ac:dyDescent="0.25"/>
    <row r="464" spans="1:6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</sheetData>
  <mergeCells count="1">
    <mergeCell ref="A1:F1"/>
  </mergeCells>
  <pageMargins left="0.7" right="0.7" top="0.75" bottom="0.75" header="0.3" footer="0.3"/>
  <pageSetup scale="6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Oct. 2020 Data</vt:lpstr>
    </vt:vector>
  </TitlesOfParts>
  <Company>Dept. of Education and Early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easeitz</dc:creator>
  <cp:lastModifiedBy>Seitz, Elizabeth A (EED)</cp:lastModifiedBy>
  <cp:lastPrinted>2019-01-22T17:05:52Z</cp:lastPrinted>
  <dcterms:created xsi:type="dcterms:W3CDTF">2014-01-21T20:14:03Z</dcterms:created>
  <dcterms:modified xsi:type="dcterms:W3CDTF">2021-08-30T21:47:49Z</dcterms:modified>
</cp:coreProperties>
</file>