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hild Nutrition Programs\National School Lunch\Reports\Free, Reduced Price Report and procedures\2021-2022 Free, Reduced Price Report\"/>
    </mc:Choice>
  </mc:AlternateContent>
  <xr:revisionPtr revIDLastSave="0" documentId="13_ncr:1_{3E342077-57EE-40B8-9659-35EC75DB6B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Oct. 2021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" i="3" l="1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C117" i="3"/>
  <c r="C116" i="3"/>
  <c r="C115" i="3" s="1"/>
  <c r="F115" i="3" s="1"/>
  <c r="C182" i="3"/>
  <c r="C181" i="3" s="1"/>
  <c r="F181" i="3" s="1"/>
  <c r="C180" i="3"/>
  <c r="C179" i="3" s="1"/>
  <c r="F179" i="3" s="1"/>
  <c r="D176" i="3"/>
  <c r="F176" i="3" s="1"/>
  <c r="E176" i="3"/>
  <c r="C176" i="3"/>
  <c r="C289" i="3"/>
  <c r="C288" i="3"/>
  <c r="C287" i="3"/>
  <c r="C286" i="3"/>
  <c r="C285" i="3"/>
  <c r="C284" i="3"/>
  <c r="C283" i="3"/>
  <c r="C282" i="3"/>
  <c r="C281" i="3"/>
  <c r="C277" i="3" s="1"/>
  <c r="F277" i="3" s="1"/>
  <c r="C280" i="3"/>
  <c r="C279" i="3"/>
  <c r="C278" i="3"/>
  <c r="D407" i="3"/>
  <c r="E407" i="3"/>
  <c r="C407" i="3"/>
  <c r="C408" i="3"/>
  <c r="C460" i="3"/>
  <c r="C459" i="3"/>
  <c r="C458" i="3"/>
  <c r="E457" i="3"/>
  <c r="D457" i="3"/>
  <c r="C457" i="3"/>
  <c r="F457" i="3" s="1"/>
  <c r="C456" i="3"/>
  <c r="C455" i="3"/>
  <c r="C454" i="3"/>
  <c r="C453" i="3"/>
  <c r="C452" i="3"/>
  <c r="C451" i="3"/>
  <c r="C450" i="3"/>
  <c r="C449" i="3"/>
  <c r="C448" i="3"/>
  <c r="C447" i="3" s="1"/>
  <c r="F447" i="3" s="1"/>
  <c r="E447" i="3"/>
  <c r="D447" i="3"/>
  <c r="C446" i="3"/>
  <c r="C445" i="3"/>
  <c r="C444" i="3"/>
  <c r="C443" i="3"/>
  <c r="C442" i="3"/>
  <c r="C441" i="3"/>
  <c r="C440" i="3" s="1"/>
  <c r="F440" i="3" s="1"/>
  <c r="E440" i="3"/>
  <c r="D440" i="3"/>
  <c r="F439" i="3"/>
  <c r="F438" i="3"/>
  <c r="F437" i="3"/>
  <c r="E436" i="3"/>
  <c r="F436" i="3" s="1"/>
  <c r="D436" i="3"/>
  <c r="C436" i="3"/>
  <c r="F435" i="3"/>
  <c r="F434" i="3"/>
  <c r="E433" i="3"/>
  <c r="D433" i="3"/>
  <c r="C433" i="3"/>
  <c r="F433" i="3" s="1"/>
  <c r="C432" i="3"/>
  <c r="C431" i="3"/>
  <c r="C430" i="3"/>
  <c r="C429" i="3"/>
  <c r="C428" i="3"/>
  <c r="C427" i="3"/>
  <c r="C426" i="3"/>
  <c r="C425" i="3"/>
  <c r="C424" i="3" s="1"/>
  <c r="F424" i="3" s="1"/>
  <c r="E424" i="3"/>
  <c r="D424" i="3"/>
  <c r="F423" i="3"/>
  <c r="F422" i="3"/>
  <c r="C421" i="3"/>
  <c r="C415" i="3" s="1"/>
  <c r="F415" i="3" s="1"/>
  <c r="F420" i="3"/>
  <c r="C419" i="3"/>
  <c r="F417" i="3"/>
  <c r="C416" i="3"/>
  <c r="E415" i="3"/>
  <c r="D415" i="3"/>
  <c r="F414" i="3"/>
  <c r="F413" i="3"/>
  <c r="F412" i="3"/>
  <c r="F411" i="3"/>
  <c r="F410" i="3"/>
  <c r="E409" i="3"/>
  <c r="D409" i="3"/>
  <c r="C409" i="3"/>
  <c r="F409" i="3" s="1"/>
  <c r="F406" i="3"/>
  <c r="C405" i="3"/>
  <c r="F404" i="3"/>
  <c r="E403" i="3"/>
  <c r="D403" i="3"/>
  <c r="C403" i="3"/>
  <c r="F403" i="3" s="1"/>
  <c r="C402" i="3"/>
  <c r="C401" i="3"/>
  <c r="C400" i="3"/>
  <c r="C399" i="3"/>
  <c r="C398" i="3"/>
  <c r="C397" i="3"/>
  <c r="C396" i="3"/>
  <c r="C395" i="3"/>
  <c r="C390" i="3" s="1"/>
  <c r="F390" i="3" s="1"/>
  <c r="C394" i="3"/>
  <c r="C393" i="3"/>
  <c r="C392" i="3"/>
  <c r="C391" i="3"/>
  <c r="E390" i="3"/>
  <c r="D390" i="3"/>
  <c r="C389" i="3"/>
  <c r="C388" i="3"/>
  <c r="C387" i="3"/>
  <c r="F386" i="3"/>
  <c r="F385" i="3"/>
  <c r="F384" i="3"/>
  <c r="F383" i="3"/>
  <c r="F382" i="3"/>
  <c r="F381" i="3"/>
  <c r="F380" i="3"/>
  <c r="F379" i="3"/>
  <c r="E378" i="3"/>
  <c r="D378" i="3"/>
  <c r="C378" i="3"/>
  <c r="F378" i="3" s="1"/>
  <c r="C377" i="3"/>
  <c r="C374" i="3" s="1"/>
  <c r="F374" i="3" s="1"/>
  <c r="C376" i="3"/>
  <c r="C375" i="3"/>
  <c r="E374" i="3"/>
  <c r="D374" i="3"/>
  <c r="C373" i="3"/>
  <c r="C372" i="3" s="1"/>
  <c r="F372" i="3" s="1"/>
  <c r="E372" i="3"/>
  <c r="D372" i="3"/>
  <c r="C371" i="3"/>
  <c r="E370" i="3"/>
  <c r="D370" i="3"/>
  <c r="C370" i="3"/>
  <c r="F370" i="3" s="1"/>
  <c r="C369" i="3"/>
  <c r="F368" i="3"/>
  <c r="F367" i="3"/>
  <c r="C366" i="3"/>
  <c r="C365" i="3"/>
  <c r="F364" i="3"/>
  <c r="C363" i="3"/>
  <c r="F362" i="3"/>
  <c r="F361" i="3"/>
  <c r="C360" i="3"/>
  <c r="F359" i="3"/>
  <c r="F358" i="3"/>
  <c r="F357" i="3"/>
  <c r="C356" i="3"/>
  <c r="F355" i="3"/>
  <c r="F354" i="3"/>
  <c r="F353" i="3"/>
  <c r="C352" i="3"/>
  <c r="F351" i="3"/>
  <c r="F350" i="3"/>
  <c r="F349" i="3"/>
  <c r="F348" i="3"/>
  <c r="F347" i="3"/>
  <c r="C346" i="3"/>
  <c r="C331" i="3" s="1"/>
  <c r="F331" i="3" s="1"/>
  <c r="C345" i="3"/>
  <c r="F344" i="3"/>
  <c r="F343" i="3"/>
  <c r="F342" i="3"/>
  <c r="F341" i="3"/>
  <c r="C340" i="3"/>
  <c r="F339" i="3"/>
  <c r="F338" i="3"/>
  <c r="F337" i="3"/>
  <c r="F336" i="3"/>
  <c r="C335" i="3"/>
  <c r="C334" i="3"/>
  <c r="F333" i="3"/>
  <c r="F332" i="3"/>
  <c r="E331" i="3"/>
  <c r="D331" i="3"/>
  <c r="C330" i="3"/>
  <c r="C329" i="3"/>
  <c r="C328" i="3"/>
  <c r="C327" i="3"/>
  <c r="C326" i="3"/>
  <c r="C325" i="3"/>
  <c r="C324" i="3"/>
  <c r="C323" i="3"/>
  <c r="C319" i="3" s="1"/>
  <c r="F319" i="3" s="1"/>
  <c r="C322" i="3"/>
  <c r="C321" i="3"/>
  <c r="C320" i="3"/>
  <c r="E319" i="3"/>
  <c r="D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0" i="3" s="1"/>
  <c r="F290" i="3" s="1"/>
  <c r="C295" i="3"/>
  <c r="C294" i="3"/>
  <c r="C293" i="3"/>
  <c r="C292" i="3"/>
  <c r="C291" i="3"/>
  <c r="E290" i="3"/>
  <c r="D290" i="3"/>
  <c r="E277" i="3"/>
  <c r="D277" i="3"/>
  <c r="C276" i="3"/>
  <c r="C275" i="3"/>
  <c r="C274" i="3"/>
  <c r="C267" i="3" s="1"/>
  <c r="F267" i="3" s="1"/>
  <c r="C273" i="3"/>
  <c r="C272" i="3"/>
  <c r="C271" i="3"/>
  <c r="C270" i="3"/>
  <c r="C269" i="3"/>
  <c r="C268" i="3"/>
  <c r="E267" i="3"/>
  <c r="D267" i="3"/>
  <c r="F266" i="3"/>
  <c r="F265" i="3"/>
  <c r="C264" i="3"/>
  <c r="C263" i="3"/>
  <c r="F262" i="3"/>
  <c r="F261" i="3"/>
  <c r="F260" i="3"/>
  <c r="F259" i="3"/>
  <c r="F258" i="3"/>
  <c r="C257" i="3"/>
  <c r="C256" i="3"/>
  <c r="E255" i="3"/>
  <c r="D255" i="3"/>
  <c r="C255" i="3"/>
  <c r="F255" i="3" s="1"/>
  <c r="F254" i="3"/>
  <c r="E253" i="3"/>
  <c r="F253" i="3" s="1"/>
  <c r="D253" i="3"/>
  <c r="C253" i="3"/>
  <c r="F252" i="3"/>
  <c r="F251" i="3"/>
  <c r="F250" i="3"/>
  <c r="F249" i="3"/>
  <c r="F248" i="3"/>
  <c r="F247" i="3"/>
  <c r="F246" i="3"/>
  <c r="F245" i="3"/>
  <c r="E244" i="3"/>
  <c r="F244" i="3" s="1"/>
  <c r="D244" i="3"/>
  <c r="C244" i="3"/>
  <c r="F243" i="3"/>
  <c r="F211" i="3"/>
  <c r="F210" i="3"/>
  <c r="E209" i="3"/>
  <c r="D209" i="3"/>
  <c r="C209" i="3"/>
  <c r="F209" i="3" s="1"/>
  <c r="C208" i="3"/>
  <c r="E207" i="3"/>
  <c r="D207" i="3"/>
  <c r="C207" i="3"/>
  <c r="F207" i="3" s="1"/>
  <c r="E205" i="3"/>
  <c r="D205" i="3"/>
  <c r="C205" i="3"/>
  <c r="C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E191" i="3"/>
  <c r="D191" i="3"/>
  <c r="F191" i="3" s="1"/>
  <c r="C191" i="3"/>
  <c r="C190" i="3"/>
  <c r="C189" i="3"/>
  <c r="C188" i="3"/>
  <c r="C187" i="3"/>
  <c r="C183" i="3" s="1"/>
  <c r="F183" i="3" s="1"/>
  <c r="C186" i="3"/>
  <c r="C185" i="3"/>
  <c r="C184" i="3"/>
  <c r="E183" i="3"/>
  <c r="D183" i="3"/>
  <c r="E181" i="3"/>
  <c r="D181" i="3"/>
  <c r="E179" i="3"/>
  <c r="D179" i="3"/>
  <c r="F178" i="3"/>
  <c r="F177" i="3"/>
  <c r="C175" i="3"/>
  <c r="C174" i="3"/>
  <c r="C173" i="3"/>
  <c r="C172" i="3" s="1"/>
  <c r="F172" i="3" s="1"/>
  <c r="E172" i="3"/>
  <c r="D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E136" i="3"/>
  <c r="D136" i="3"/>
  <c r="C136" i="3"/>
  <c r="C135" i="3"/>
  <c r="C134" i="3"/>
  <c r="E133" i="3"/>
  <c r="D133" i="3"/>
  <c r="C133" i="3"/>
  <c r="F133" i="3" s="1"/>
  <c r="F132" i="3"/>
  <c r="F131" i="3"/>
  <c r="F130" i="3"/>
  <c r="E129" i="3"/>
  <c r="D129" i="3"/>
  <c r="C129" i="3"/>
  <c r="F129" i="3" s="1"/>
  <c r="F128" i="3"/>
  <c r="F127" i="3"/>
  <c r="E126" i="3"/>
  <c r="D126" i="3"/>
  <c r="F126" i="3" s="1"/>
  <c r="C126" i="3"/>
  <c r="C125" i="3"/>
  <c r="C124" i="3"/>
  <c r="C123" i="3" s="1"/>
  <c r="F123" i="3" s="1"/>
  <c r="E123" i="3"/>
  <c r="D123" i="3"/>
  <c r="F122" i="3"/>
  <c r="F121" i="3"/>
  <c r="E120" i="3"/>
  <c r="F120" i="3" s="1"/>
  <c r="D120" i="3"/>
  <c r="C120" i="3"/>
  <c r="C119" i="3"/>
  <c r="E118" i="3"/>
  <c r="D118" i="3"/>
  <c r="C118" i="3"/>
  <c r="F118" i="3" s="1"/>
  <c r="E115" i="3"/>
  <c r="D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 s="1"/>
  <c r="F99" i="3" s="1"/>
  <c r="E99" i="3"/>
  <c r="D99" i="3"/>
  <c r="C98" i="3"/>
  <c r="C97" i="3"/>
  <c r="C96" i="3"/>
  <c r="C95" i="3" s="1"/>
  <c r="F95" i="3" s="1"/>
  <c r="E95" i="3"/>
  <c r="D95" i="3"/>
  <c r="C94" i="3"/>
  <c r="C93" i="3"/>
  <c r="C92" i="3"/>
  <c r="C91" i="3"/>
  <c r="C90" i="3"/>
  <c r="F89" i="3"/>
  <c r="C88" i="3"/>
  <c r="F86" i="3"/>
  <c r="F85" i="3"/>
  <c r="F84" i="3"/>
  <c r="F83" i="3"/>
  <c r="C82" i="3"/>
  <c r="F81" i="3"/>
  <c r="C80" i="3"/>
  <c r="F79" i="3"/>
  <c r="F78" i="3"/>
  <c r="F77" i="3"/>
  <c r="F76" i="3"/>
  <c r="C75" i="3"/>
  <c r="F74" i="3"/>
  <c r="F73" i="3"/>
  <c r="F72" i="3"/>
  <c r="F71" i="3"/>
  <c r="C70" i="3"/>
  <c r="F69" i="3"/>
  <c r="F68" i="3"/>
  <c r="F67" i="3"/>
  <c r="F66" i="3"/>
  <c r="C65" i="3"/>
  <c r="C64" i="3"/>
  <c r="F63" i="3"/>
  <c r="C62" i="3"/>
  <c r="C61" i="3"/>
  <c r="C60" i="3"/>
  <c r="C59" i="3"/>
  <c r="F58" i="3"/>
  <c r="F57" i="3"/>
  <c r="C56" i="3"/>
  <c r="F55" i="3"/>
  <c r="C54" i="3"/>
  <c r="F53" i="3"/>
  <c r="F52" i="3"/>
  <c r="F51" i="3"/>
  <c r="F50" i="3"/>
  <c r="F49" i="3"/>
  <c r="F48" i="3"/>
  <c r="C46" i="3"/>
  <c r="F45" i="3"/>
  <c r="C44" i="3"/>
  <c r="F43" i="3"/>
  <c r="F42" i="3"/>
  <c r="C41" i="3"/>
  <c r="C40" i="3"/>
  <c r="F39" i="3"/>
  <c r="F38" i="3"/>
  <c r="F37" i="3"/>
  <c r="F36" i="3"/>
  <c r="C35" i="3"/>
  <c r="C34" i="3"/>
  <c r="C33" i="3"/>
  <c r="F32" i="3"/>
  <c r="F31" i="3"/>
  <c r="F30" i="3"/>
  <c r="C29" i="3"/>
  <c r="C28" i="3"/>
  <c r="C27" i="3"/>
  <c r="F26" i="3"/>
  <c r="F25" i="3"/>
  <c r="F24" i="3"/>
  <c r="C23" i="3"/>
  <c r="F22" i="3"/>
  <c r="F21" i="3"/>
  <c r="C20" i="3"/>
  <c r="C19" i="3"/>
  <c r="F17" i="3"/>
  <c r="F16" i="3"/>
  <c r="C15" i="3"/>
  <c r="C14" i="3"/>
  <c r="C13" i="3"/>
  <c r="E12" i="3"/>
  <c r="D12" i="3"/>
  <c r="C12" i="3"/>
  <c r="F12" i="3" s="1"/>
  <c r="C11" i="3"/>
  <c r="C10" i="3"/>
  <c r="C9" i="3"/>
  <c r="C8" i="3"/>
  <c r="C7" i="3"/>
  <c r="C6" i="3"/>
  <c r="C5" i="3"/>
  <c r="C4" i="3" s="1"/>
  <c r="E4" i="3"/>
  <c r="D4" i="3"/>
  <c r="E3" i="3" l="1"/>
  <c r="D3" i="3"/>
  <c r="F4" i="3"/>
  <c r="F407" i="3" l="1"/>
  <c r="C3" i="3"/>
  <c r="F3" i="3" s="1"/>
</calcChain>
</file>

<file path=xl/sharedStrings.xml><?xml version="1.0" encoding="utf-8"?>
<sst xmlns="http://schemas.openxmlformats.org/spreadsheetml/2006/main" count="879" uniqueCount="509">
  <si>
    <t>District</t>
  </si>
  <si>
    <t>School</t>
  </si>
  <si>
    <t>Free</t>
  </si>
  <si>
    <t>Reduced</t>
  </si>
  <si>
    <t>Enrolled</t>
  </si>
  <si>
    <t>% F&amp; R</t>
  </si>
  <si>
    <t>Grand Total</t>
  </si>
  <si>
    <t>Alaska Gateway School District</t>
  </si>
  <si>
    <t>Anchorage School District</t>
  </si>
  <si>
    <t>Alpenglow Elementary</t>
  </si>
  <si>
    <t>Aurora Elementary</t>
  </si>
  <si>
    <t>Bayshore Elementary</t>
  </si>
  <si>
    <t>Bear Valley Elementary</t>
  </si>
  <si>
    <t>Bowman Elementary</t>
  </si>
  <si>
    <t>Campbell Elementary</t>
  </si>
  <si>
    <t>Chugach Optional Elementary</t>
  </si>
  <si>
    <t>Chugiak Elementary</t>
  </si>
  <si>
    <t>Chugiak High School</t>
  </si>
  <si>
    <t>Denali Elementary</t>
  </si>
  <si>
    <t>Dimond High School</t>
  </si>
  <si>
    <t>Eagle River High School</t>
  </si>
  <si>
    <t>Fire Lake Elementary</t>
  </si>
  <si>
    <t>Girdwood School</t>
  </si>
  <si>
    <t>Goldenview Middle School</t>
  </si>
  <si>
    <t>Hanshew Middle School</t>
  </si>
  <si>
    <t>Homestead Elementary</t>
  </si>
  <si>
    <t>Huffman Elementary</t>
  </si>
  <si>
    <t>Inlet View Elementary</t>
  </si>
  <si>
    <t>Kasuun Elementary</t>
  </si>
  <si>
    <t>Kincaid Elementary</t>
  </si>
  <si>
    <t>Lake Hood Elementary</t>
  </si>
  <si>
    <t>Mears Middle School</t>
  </si>
  <si>
    <t>Mirror Lake Middle School</t>
  </si>
  <si>
    <t>North Star Elementary</t>
  </si>
  <si>
    <t>Northern Lights ABC K-8 School</t>
  </si>
  <si>
    <t>Ocean View Elementary</t>
  </si>
  <si>
    <t>O'Malley Elementary</t>
  </si>
  <si>
    <t>Orion Elementary School</t>
  </si>
  <si>
    <t>Polaris k-12 School</t>
  </si>
  <si>
    <t>Rabbit Creek Elementary</t>
  </si>
  <si>
    <t>Ravenwood Elementary</t>
  </si>
  <si>
    <t>Rogers Park Elementary</t>
  </si>
  <si>
    <t>Romig Middle School</t>
  </si>
  <si>
    <t>Sand Lake Elementary</t>
  </si>
  <si>
    <t>Service High School</t>
  </si>
  <si>
    <t>South Anchorage High School</t>
  </si>
  <si>
    <t>Trailside Elementary</t>
  </si>
  <si>
    <t>Turnagain Elementary</t>
  </si>
  <si>
    <t>Ursa Major Elementary</t>
  </si>
  <si>
    <t>West High School</t>
  </si>
  <si>
    <t>Annette Island School District</t>
  </si>
  <si>
    <t>Bering Strait School District</t>
  </si>
  <si>
    <t>Bristol Bay Borough School District</t>
  </si>
  <si>
    <t>Chatham School District</t>
  </si>
  <si>
    <t>Copper River School District</t>
  </si>
  <si>
    <t>Cordova City School District</t>
  </si>
  <si>
    <t>Craig City School District</t>
  </si>
  <si>
    <t>Craig Elementary &amp; Middle School</t>
  </si>
  <si>
    <t>Craig High School</t>
  </si>
  <si>
    <t>Delta-Greely School District</t>
  </si>
  <si>
    <t>Delta Junction Elementary</t>
  </si>
  <si>
    <t>Dillingham City School District</t>
  </si>
  <si>
    <t>Fairbanks North Star Borough School District</t>
  </si>
  <si>
    <t>Anderson Elementary</t>
  </si>
  <si>
    <t>Anne Wien Elementary</t>
  </si>
  <si>
    <t>Arctic Light Elementary</t>
  </si>
  <si>
    <t>Barnette Magnet School</t>
  </si>
  <si>
    <t>Ben Eielson Jr/Sr High School</t>
  </si>
  <si>
    <t>BRIDGE Program</t>
  </si>
  <si>
    <t>Crawford Elementary</t>
  </si>
  <si>
    <t>District Wide Pass</t>
  </si>
  <si>
    <t>Effie Kokrine Charter School</t>
  </si>
  <si>
    <t>Hunter Elementary</t>
  </si>
  <si>
    <t>Hutchinson Career Center</t>
  </si>
  <si>
    <t>Joy Elementary</t>
  </si>
  <si>
    <t>Ladd Elementary</t>
  </si>
  <si>
    <t>Lathrop High School</t>
  </si>
  <si>
    <t>Nordale Elementary</t>
  </si>
  <si>
    <t>North Pole Elementary</t>
  </si>
  <si>
    <t>North Pole High School</t>
  </si>
  <si>
    <t>North Pole Middle School</t>
  </si>
  <si>
    <t>Pearl Creek Elementary</t>
  </si>
  <si>
    <t>Randy Smith Middle School</t>
  </si>
  <si>
    <t>Ryan Middle School</t>
  </si>
  <si>
    <t>Salcha Elementary</t>
  </si>
  <si>
    <t>Star of the North Secondary School</t>
  </si>
  <si>
    <t>Tanana Middle School</t>
  </si>
  <si>
    <t>Ticasuk Brown Elementary</t>
  </si>
  <si>
    <t>Two Rivers School</t>
  </si>
  <si>
    <t>University Park Elementary</t>
  </si>
  <si>
    <t>Weller Elementary</t>
  </si>
  <si>
    <t>West Valley High School</t>
  </si>
  <si>
    <t>Woodriver Elementary</t>
  </si>
  <si>
    <t>Galena City School District</t>
  </si>
  <si>
    <t>Haines Borough School District</t>
  </si>
  <si>
    <t>Hoonah City School District</t>
  </si>
  <si>
    <t>Hydaburg City School District</t>
  </si>
  <si>
    <t>Iditarod Area School District</t>
  </si>
  <si>
    <t>Juneau Borough School District</t>
  </si>
  <si>
    <t>Auke Bay Elementary</t>
  </si>
  <si>
    <t>Dzantik'i Heeni Middle School</t>
  </si>
  <si>
    <t>Floyd Dryden Middle School</t>
  </si>
  <si>
    <t>Harborview Elementary</t>
  </si>
  <si>
    <t>Juneau Community Charter School</t>
  </si>
  <si>
    <t>Mendenhall River Community School</t>
  </si>
  <si>
    <t>Riverbend Elementary</t>
  </si>
  <si>
    <t>Thunder Mountain High School</t>
  </si>
  <si>
    <t>Kake City School District</t>
  </si>
  <si>
    <t>Kashunamiut School District</t>
  </si>
  <si>
    <t>Kenai Peninsula Borough School District</t>
  </si>
  <si>
    <t>Chapman School</t>
  </si>
  <si>
    <t>Fireweed Acadamy</t>
  </si>
  <si>
    <t>Homer High School</t>
  </si>
  <si>
    <t>Homer Middle School</t>
  </si>
  <si>
    <t>Kaleidoscope School of Arts &amp; Sciences</t>
  </si>
  <si>
    <t>Kalifornsky Beach Elementary</t>
  </si>
  <si>
    <t>Kenai Alternative High School</t>
  </si>
  <si>
    <t>Kenai Central High School</t>
  </si>
  <si>
    <t>Kenai Middle School</t>
  </si>
  <si>
    <t>McNeil Canyon Elementary</t>
  </si>
  <si>
    <t>Moose Pass School</t>
  </si>
  <si>
    <t>Mt. View Elementary</t>
  </si>
  <si>
    <t>Nikiski Middle/Senior High School</t>
  </si>
  <si>
    <t>Nikiski North Star Elementary</t>
  </si>
  <si>
    <t>Ninilchik School</t>
  </si>
  <si>
    <t>Paul Banks Elementary</t>
  </si>
  <si>
    <t>Redoubt Elementary</t>
  </si>
  <si>
    <t>Seward Elementary</t>
  </si>
  <si>
    <t>Seward High School</t>
  </si>
  <si>
    <t>Seward Middle School</t>
  </si>
  <si>
    <t>Soldotna Elementary</t>
  </si>
  <si>
    <t>Soldotna High School</t>
  </si>
  <si>
    <t>Sterling Elementary</t>
  </si>
  <si>
    <t>Susan B English School</t>
  </si>
  <si>
    <t>Tustumena Elementary</t>
  </si>
  <si>
    <t>West Homer Elementary</t>
  </si>
  <si>
    <t>Ketchikan Gateway Borough School District</t>
  </si>
  <si>
    <t>Houghtaling Elementary</t>
  </si>
  <si>
    <t>Ketchikan High School</t>
  </si>
  <si>
    <t>Schoenbar Middle School</t>
  </si>
  <si>
    <t>Tongass School of Arts and Sciences</t>
  </si>
  <si>
    <t>Klawock City School District</t>
  </si>
  <si>
    <t>Klawock City School</t>
  </si>
  <si>
    <t>Kodiak Island Borough School District</t>
  </si>
  <si>
    <t>East Elementary</t>
  </si>
  <si>
    <t>Kodiak High School</t>
  </si>
  <si>
    <t>Kodiak Middle School</t>
  </si>
  <si>
    <t>Main Elementary</t>
  </si>
  <si>
    <t>Peterson Elementary</t>
  </si>
  <si>
    <t>Kuspuk School District</t>
  </si>
  <si>
    <t>Lake and Peninsula Borough School District</t>
  </si>
  <si>
    <t>Lower Kuskokwim School District</t>
  </si>
  <si>
    <t>Lower Yukon School District</t>
  </si>
  <si>
    <t>Matanuska-Susitna Borough School District</t>
  </si>
  <si>
    <t>Butte Elementary</t>
  </si>
  <si>
    <t>Colony High School</t>
  </si>
  <si>
    <t>Colony Middle School</t>
  </si>
  <si>
    <t>Cottonwood Creek Elementary</t>
  </si>
  <si>
    <t>Finger Lake Elementary</t>
  </si>
  <si>
    <t>Fred and Sara Machetanz Elementary School</t>
  </si>
  <si>
    <t>Glacier View School</t>
  </si>
  <si>
    <t>Goose Bay Elementary</t>
  </si>
  <si>
    <t>John Shaw Elementary</t>
  </si>
  <si>
    <t>Knik Elementary School</t>
  </si>
  <si>
    <t>Larson Elementary</t>
  </si>
  <si>
    <t>Mat-Su Career &amp; Tech Ed High School</t>
  </si>
  <si>
    <t>Palmer High School</t>
  </si>
  <si>
    <t>Palmer Middle School</t>
  </si>
  <si>
    <t>Pioneer Peak Elementary</t>
  </si>
  <si>
    <t>Sherrod Elementary</t>
  </si>
  <si>
    <t>Snowshoe Elementary</t>
  </si>
  <si>
    <t>Susitna Valley Jr/Sr High</t>
  </si>
  <si>
    <t>Swanson Elementary</t>
  </si>
  <si>
    <t>Talkeetna Elementary</t>
  </si>
  <si>
    <t>TeeLand Middle School</t>
  </si>
  <si>
    <t>Wasilla High School</t>
  </si>
  <si>
    <t>Wasilla Middle School</t>
  </si>
  <si>
    <t>Mount Edgecumbe</t>
  </si>
  <si>
    <t>Nenana City School District</t>
  </si>
  <si>
    <t>Nome Public Schools</t>
  </si>
  <si>
    <t>North Slope Borough School District</t>
  </si>
  <si>
    <t>Northwest Arctic Borough School District</t>
  </si>
  <si>
    <t>Petersburg Borough School District</t>
  </si>
  <si>
    <t>Mitkof Middle School</t>
  </si>
  <si>
    <t>Rae C. Stedman Elementary</t>
  </si>
  <si>
    <t>Saint Mary's School District</t>
  </si>
  <si>
    <t>Sitka School District</t>
  </si>
  <si>
    <t>Baranof Elementary</t>
  </si>
  <si>
    <t>Blatchley Middle School</t>
  </si>
  <si>
    <t>Keet Gooshi Heen Elementary</t>
  </si>
  <si>
    <t>Pacific High School</t>
  </si>
  <si>
    <t>Sitka High School</t>
  </si>
  <si>
    <t>Southeast Island School District</t>
  </si>
  <si>
    <t>Thorne Bay School</t>
  </si>
  <si>
    <t>Southwest Region School District</t>
  </si>
  <si>
    <t>Clarks Point School</t>
  </si>
  <si>
    <t>Unalaska City School District</t>
  </si>
  <si>
    <t>Eagle's View Elementary School</t>
  </si>
  <si>
    <t>Unalaska Jr/Sr High School</t>
  </si>
  <si>
    <t>Valdez City School District</t>
  </si>
  <si>
    <t>Hermon Hutchens Elementary</t>
  </si>
  <si>
    <t>Valdez High School</t>
  </si>
  <si>
    <t>Yukon Flats School District</t>
  </si>
  <si>
    <t>Yukon-Koyukuk School District</t>
  </si>
  <si>
    <t>Yupiit School District</t>
  </si>
  <si>
    <t>River City Academy</t>
  </si>
  <si>
    <t>Skyview Middle School</t>
  </si>
  <si>
    <t>Soldotna Montessori School</t>
  </si>
  <si>
    <t>George H. Gilson Jr. High School</t>
  </si>
  <si>
    <t>Hyder</t>
  </si>
  <si>
    <t>Montessori Public Alernative School</t>
  </si>
  <si>
    <t>Ketchikan Charter School</t>
  </si>
  <si>
    <t xml:space="preserve">Airport Heights Elementary-CEP                      </t>
  </si>
  <si>
    <t xml:space="preserve">Alaska Native Cultural Charter School-CEP     </t>
  </si>
  <si>
    <t xml:space="preserve">Bartlett High School-CEP                                 </t>
  </si>
  <si>
    <t xml:space="preserve">Baxter Elementary-CEP                                   </t>
  </si>
  <si>
    <t xml:space="preserve">Chester Valley Elementary-CEP                       </t>
  </si>
  <si>
    <t xml:space="preserve">Chinook Elementary-CEP                                </t>
  </si>
  <si>
    <t xml:space="preserve">Clark Middle School-CEP   </t>
  </si>
  <si>
    <t xml:space="preserve">Creekside Park Elementary-CEP  </t>
  </si>
  <si>
    <t xml:space="preserve">East High School-CEP  </t>
  </si>
  <si>
    <t xml:space="preserve">Fairview Elementary-CEP  </t>
  </si>
  <si>
    <t xml:space="preserve">Klatt Elementary-CEP  </t>
  </si>
  <si>
    <t xml:space="preserve">Lake Otis Elementary-CEP  </t>
  </si>
  <si>
    <t xml:space="preserve">Mountain View Elementary-CEP  </t>
  </si>
  <si>
    <t xml:space="preserve">North Star Elementary-CEP  </t>
  </si>
  <si>
    <t xml:space="preserve">Muldoon Elementary-CEP  </t>
  </si>
  <si>
    <t xml:space="preserve">Northwood ABC-CEP  </t>
  </si>
  <si>
    <t xml:space="preserve">Nunaka Valley Elementary-CEP  </t>
  </si>
  <si>
    <t xml:space="preserve">Ptarmigan Elementary-CEP  </t>
  </si>
  <si>
    <t xml:space="preserve">Russian Jack Elementary-CEP  </t>
  </si>
  <si>
    <t xml:space="preserve">Taku Elementary-CEP  </t>
  </si>
  <si>
    <t xml:space="preserve">Wendler Middle School-CEP  </t>
  </si>
  <si>
    <t xml:space="preserve">Whaley School-CEP  </t>
  </si>
  <si>
    <t xml:space="preserve">William Tyson Elementary-CEP  </t>
  </si>
  <si>
    <t xml:space="preserve">Williwaw Elementary-CEP  </t>
  </si>
  <si>
    <t xml:space="preserve">Willow Crest Elementary-CEP  </t>
  </si>
  <si>
    <t xml:space="preserve">Wonder Park Elementary-CEP  </t>
  </si>
  <si>
    <t xml:space="preserve">Aniak Jr/Sr High School-CEP  </t>
  </si>
  <si>
    <t xml:space="preserve">Auntie Mary Nicoli Elementary-CEP  </t>
  </si>
  <si>
    <t xml:space="preserve">Crow Village Sam School-CEP  </t>
  </si>
  <si>
    <t xml:space="preserve">George Morgan Sr. H.S.-CEP  </t>
  </si>
  <si>
    <t xml:space="preserve">Gusty Michael School-CEP  </t>
  </si>
  <si>
    <t xml:space="preserve">Johnnie John Sr. School-CEP  </t>
  </si>
  <si>
    <t xml:space="preserve">Joseph S. &amp; Olinga Gregory Elementary-CEP  </t>
  </si>
  <si>
    <t xml:space="preserve">Zackar Levi Elementary-CEP  </t>
  </si>
  <si>
    <t xml:space="preserve">Arctic Village School-CEP  </t>
  </si>
  <si>
    <t xml:space="preserve">Circle School-CEP  </t>
  </si>
  <si>
    <t xml:space="preserve">Cruikshank School-CEP  </t>
  </si>
  <si>
    <t xml:space="preserve">Fort Yukon School-CEP  </t>
  </si>
  <si>
    <t xml:space="preserve">John Fredson School-CEP  </t>
  </si>
  <si>
    <t xml:space="preserve">Tsuk Taih School-CEP  </t>
  </si>
  <si>
    <t xml:space="preserve">Allakaket School-CEP  </t>
  </si>
  <si>
    <t xml:space="preserve">Andrew K. Demoski School-CEP  </t>
  </si>
  <si>
    <t xml:space="preserve">Kaltag School-CEP  </t>
  </si>
  <si>
    <t xml:space="preserve">Merreline A Kangas School-CEP  </t>
  </si>
  <si>
    <t xml:space="preserve">Minto School-CEP  </t>
  </si>
  <si>
    <t>Blackwell School - CEP</t>
  </si>
  <si>
    <t>David Louis Memorial School - CEP</t>
  </si>
  <si>
    <t>Innoko River School - CEP</t>
  </si>
  <si>
    <t>Tokatna Community School - CEP</t>
  </si>
  <si>
    <t>Top of the Kuskokwim School - CEP</t>
  </si>
  <si>
    <t>Abbott Loop Elementary - CEP</t>
  </si>
  <si>
    <t xml:space="preserve">Benson Secondary/S.E.A.R.C.H. - CEP              </t>
  </si>
  <si>
    <t>Central Middle School of Science - CEP</t>
  </si>
  <si>
    <t>College Gate Elementary - CEP</t>
  </si>
  <si>
    <t>Spring Hill Elementary - CEP</t>
  </si>
  <si>
    <t>Aniguiin School-CEP</t>
  </si>
  <si>
    <t>Anthony A. Andrews School-CEP</t>
  </si>
  <si>
    <t>Brevig Mission School-CEP</t>
  </si>
  <si>
    <t>Diomede School-CEP</t>
  </si>
  <si>
    <t>Gambell School-CEP</t>
  </si>
  <si>
    <t>Hogarth Kingeekuk Sr. Memorial School-CEP</t>
  </si>
  <si>
    <t>James C. Isabell School-CEP</t>
  </si>
  <si>
    <t>Koyuk-Malimiut School-CEP</t>
  </si>
  <si>
    <t>Martin L. Olson School-CEP</t>
  </si>
  <si>
    <t>Shaktoolik School-CEP</t>
  </si>
  <si>
    <t>Shishmaref School-CEP</t>
  </si>
  <si>
    <t>Tukurngailnguq School-CEP</t>
  </si>
  <si>
    <t>Unalakleet School-CEP</t>
  </si>
  <si>
    <t>Wales School-CEP</t>
  </si>
  <si>
    <t>White Mountain School-CEP</t>
  </si>
  <si>
    <t>Government Hill Elementary - CEP</t>
  </si>
  <si>
    <t>Ella B. Vernetti School-CEP</t>
  </si>
  <si>
    <t>Rampart School-CEP</t>
  </si>
  <si>
    <t>Johnny Oldman School-CEP</t>
  </si>
  <si>
    <t>Akhiok School-CEP</t>
  </si>
  <si>
    <t>Chiniak School-CEP</t>
  </si>
  <si>
    <t>Old Harbor School-CEP</t>
  </si>
  <si>
    <t>Ouzinkie School-CEP</t>
  </si>
  <si>
    <t>Port Lions School-CEP</t>
  </si>
  <si>
    <t>Chignik Bay-CEP</t>
  </si>
  <si>
    <t>Chignik Lagoon School-CEP</t>
  </si>
  <si>
    <t>Chignik Lake School-CEP</t>
  </si>
  <si>
    <t>Igiugig School-CEP</t>
  </si>
  <si>
    <t>Kokhanok School-CEP</t>
  </si>
  <si>
    <t>Levelock School-CEP</t>
  </si>
  <si>
    <t>Meshik School-CEP</t>
  </si>
  <si>
    <t>Newhalen School-CEP</t>
  </si>
  <si>
    <t>Nondalton School-CEP</t>
  </si>
  <si>
    <t>Perryville School-CEP</t>
  </si>
  <si>
    <t>Pilot Point School-CEP</t>
  </si>
  <si>
    <t>Tanalian School-CEP</t>
  </si>
  <si>
    <t>Iditarod Elementary-CEP</t>
  </si>
  <si>
    <t>Meadow Lakes Elementary-CEP</t>
  </si>
  <si>
    <t>Tanaina Elementary-CEP</t>
  </si>
  <si>
    <t>Midnight Sun Elementary</t>
  </si>
  <si>
    <t>end of table</t>
  </si>
  <si>
    <t>Alakanuk School-CEP</t>
  </si>
  <si>
    <t>Emmonak School-CEP</t>
  </si>
  <si>
    <t>Hooper Bay School-CEP</t>
  </si>
  <si>
    <t>Kotlik School-CEP</t>
  </si>
  <si>
    <t>Marshall School-CEP</t>
  </si>
  <si>
    <t>Mountain Village/Ignatius School-CEP</t>
  </si>
  <si>
    <t>Pilot Station School-CEP</t>
  </si>
  <si>
    <t>Russian Mission School-CEP</t>
  </si>
  <si>
    <t>Scammon Bay School-CEP</t>
  </si>
  <si>
    <t>Nunum Iqua/Sheldon Point School-CEP</t>
  </si>
  <si>
    <t>Delta Junction Junior High School</t>
  </si>
  <si>
    <t>Delta Junction Senior High School</t>
  </si>
  <si>
    <t>Mat-Su Day School</t>
  </si>
  <si>
    <t>Birchwood ABC Elementary</t>
  </si>
  <si>
    <t>Susitna Elementary</t>
  </si>
  <si>
    <t xml:space="preserve">Tudor Elementary </t>
  </si>
  <si>
    <t>Cordova Jr/Sr High School - CEP</t>
  </si>
  <si>
    <t>Mt. Eccles Elementary - CEP</t>
  </si>
  <si>
    <t>Galena Interior Learning Academy (GILA) - CEP</t>
  </si>
  <si>
    <t>Sidney C. Huntington Elementary - CEP</t>
  </si>
  <si>
    <t>Sidney C. Huntington Jr/Sr High School - CEP</t>
  </si>
  <si>
    <t>Gladys Wood Elementary - CEP</t>
  </si>
  <si>
    <t xml:space="preserve">Scenic Park Elementary </t>
  </si>
  <si>
    <t xml:space="preserve">Discovery Peak Charter School </t>
  </si>
  <si>
    <t>Kuskokwim Learning Academy-CEP</t>
  </si>
  <si>
    <t>Big Lake Elementary-CEP</t>
  </si>
  <si>
    <t>Burchell High School-CEP</t>
  </si>
  <si>
    <t xml:space="preserve">Houston Jr./Sr. High School - CEP                 </t>
  </si>
  <si>
    <t>Sutton Elementary - CEP</t>
  </si>
  <si>
    <t>Trapper Creek Elementary-CEP</t>
  </si>
  <si>
    <t>Nuiqsut Trapper School-CEP</t>
  </si>
  <si>
    <t>Jimmy Huntington School-CEP</t>
  </si>
  <si>
    <t>Redington Jr./Sr. High School-CEP</t>
  </si>
  <si>
    <t>Valley Pathways-CEP</t>
  </si>
  <si>
    <t>Willow Elementary-CEP</t>
  </si>
  <si>
    <t>Revilla Jr/Sr High School</t>
  </si>
  <si>
    <t>Alaska Gateway School District Total</t>
  </si>
  <si>
    <t>Dot Lake School-CEP</t>
  </si>
  <si>
    <t>Eagle Community School-CEP</t>
  </si>
  <si>
    <t>Mentasta Lake School-CEP</t>
  </si>
  <si>
    <t>Tanacross School-CEP</t>
  </si>
  <si>
    <t>Tetlin School-CEP</t>
  </si>
  <si>
    <t>Tok School-CEP</t>
  </si>
  <si>
    <t>Walter Northway School-CEP</t>
  </si>
  <si>
    <t>Anchorage School District Total</t>
  </si>
  <si>
    <t>Eagle River School-New to Program</t>
  </si>
  <si>
    <t>Gruening Middle School-Reopened 11/2021</t>
  </si>
  <si>
    <r>
      <t xml:space="preserve">Nicholas J. </t>
    </r>
    <r>
      <rPr>
        <b/>
        <sz val="12"/>
        <color theme="1"/>
        <rFont val="Calibri"/>
        <family val="2"/>
        <scheme val="minor"/>
      </rPr>
      <t>Begich</t>
    </r>
    <r>
      <rPr>
        <sz val="12"/>
        <color theme="1"/>
        <rFont val="Calibri"/>
        <family val="2"/>
        <scheme val="minor"/>
      </rPr>
      <t xml:space="preserve"> Middle School-CEP  </t>
    </r>
  </si>
  <si>
    <t>Ursa Minor Elementary- Started Program 11/2021</t>
  </si>
  <si>
    <t>Annette Island School District Total</t>
  </si>
  <si>
    <t>Bering Strait School District Total</t>
  </si>
  <si>
    <t>Bristol Bay Borough School District Total</t>
  </si>
  <si>
    <t>Bristol Bay Middle/High School-CEP</t>
  </si>
  <si>
    <t>Naknek Elementary School-CEP</t>
  </si>
  <si>
    <t>Chatham School District Total</t>
  </si>
  <si>
    <t>Angoon Schools-CEP</t>
  </si>
  <si>
    <t>Copper River School District Total</t>
  </si>
  <si>
    <t>Glennallen Elementary School</t>
  </si>
  <si>
    <t>Glennallen Jr/Sr High School</t>
  </si>
  <si>
    <t>Cordova City School District Total</t>
  </si>
  <si>
    <t>Craig City School District Total</t>
  </si>
  <si>
    <t>Delta-Greely School District Total</t>
  </si>
  <si>
    <t>Dillingham City School District Total</t>
  </si>
  <si>
    <t>Dillingham Elementary-CEP</t>
  </si>
  <si>
    <t>Dillingham Middle/High School-CEP</t>
  </si>
  <si>
    <t>Fairbanks North Star Borough School District Total</t>
  </si>
  <si>
    <t>Boreal Sun Charter School</t>
  </si>
  <si>
    <t>Watershed Charter School</t>
  </si>
  <si>
    <t>Galena City School District Total</t>
  </si>
  <si>
    <t>Haines Borough School District Total</t>
  </si>
  <si>
    <t>Haines Elementary School</t>
  </si>
  <si>
    <t>Haines High School</t>
  </si>
  <si>
    <t>Hoonah City School District Total</t>
  </si>
  <si>
    <t>Hydaburg City School District Total</t>
  </si>
  <si>
    <t>Iditarod Area School District Total</t>
  </si>
  <si>
    <t>Holy Cross Schoo l- CEP</t>
  </si>
  <si>
    <t>McGrath Schoo l- CEP</t>
  </si>
  <si>
    <t>Juneau Borough School District Total</t>
  </si>
  <si>
    <t>Sayeik-Gastineau Elementary</t>
  </si>
  <si>
    <t>Sit` Eeti Shannnax-Glacier Valley Elementary</t>
  </si>
  <si>
    <t>Yadaa.at Kale-Juneau-Douglas High School</t>
  </si>
  <si>
    <t>Yaakoosge Daakahidi Alt. H.S.- CEP</t>
  </si>
  <si>
    <t>Kake City School District Total</t>
  </si>
  <si>
    <t>Kake Elementary &amp; High School-CEP</t>
  </si>
  <si>
    <t>Kashunamiut School District Total</t>
  </si>
  <si>
    <t>Chevak School-CEP</t>
  </si>
  <si>
    <t>Kenai Peninsula Borough School District Total</t>
  </si>
  <si>
    <t>Ketchikan Gateway Borough School District Total</t>
  </si>
  <si>
    <t>Fawn Mountain/White Cliff Elementary</t>
  </si>
  <si>
    <t>Point Higgins School</t>
  </si>
  <si>
    <t>Klawock City School District Total</t>
  </si>
  <si>
    <t>Kodiak Island Borough School District Total</t>
  </si>
  <si>
    <t>Kuspuk School District Total</t>
  </si>
  <si>
    <t xml:space="preserve">Jack Egnaty Sr. School (Sleetmute)-CEP  </t>
  </si>
  <si>
    <t>Lake and Peninsula Borough School District Total</t>
  </si>
  <si>
    <t>Lower Kuskokwim School District Total</t>
  </si>
  <si>
    <t>Akiuk Memorial School-CEP</t>
  </si>
  <si>
    <t>Akula Elitnaurvik School-CEP</t>
  </si>
  <si>
    <t>Anna Tobeluk Memorial School-CEP</t>
  </si>
  <si>
    <t>Ayaprun Elitnaurvik-CEP</t>
  </si>
  <si>
    <t>Ayaprun School-CEP</t>
  </si>
  <si>
    <t>Bethel Regional High School-CEP</t>
  </si>
  <si>
    <t>Chaputnguak School-CEP</t>
  </si>
  <si>
    <t>Chief Paul Memorial School-CEP</t>
  </si>
  <si>
    <t>Dick R. Kiunya Memorial Ayagina'ar Elitnaurvik-CEP</t>
  </si>
  <si>
    <t>Eek School-CEP</t>
  </si>
  <si>
    <t>Gladys Jung Elementary-CEP</t>
  </si>
  <si>
    <t>Joann A. Alexie Memorial School-CEP</t>
  </si>
  <si>
    <t>Ket'acik/Aapalluk Memorial School-CEP</t>
  </si>
  <si>
    <t>Kuinerrarmiut Elitnaurviat-CEP</t>
  </si>
  <si>
    <t>Mertarvik School</t>
  </si>
  <si>
    <t>Kwigillingok School-CEP</t>
  </si>
  <si>
    <t>Lewis Angapak Memorial School-CEP</t>
  </si>
  <si>
    <t>Mikelnguut Elitnaurviat-CEP</t>
  </si>
  <si>
    <t>Negtemiut Elitnaurviat School-CEP</t>
  </si>
  <si>
    <t>Nelson Island Area School-CEP</t>
  </si>
  <si>
    <t>Nuniwarmiut School-CEP</t>
  </si>
  <si>
    <t>Paul T. Albert Memorial School-CEP</t>
  </si>
  <si>
    <t>Platinum School-CEP</t>
  </si>
  <si>
    <t>Qugcuun Memorial School-CEP</t>
  </si>
  <si>
    <t>Rocky Mountain School-CEP</t>
  </si>
  <si>
    <t>William Miller Memorial School-CEP</t>
  </si>
  <si>
    <t>Z. John Williams Memorial School-CEP</t>
  </si>
  <si>
    <t>Lower Yukon School District Total</t>
  </si>
  <si>
    <t>Hooper Bay Charter School-CEP</t>
  </si>
  <si>
    <t>Matanuska-Susitna Borough School District Total</t>
  </si>
  <si>
    <t>Alaska Middle College School-New</t>
  </si>
  <si>
    <t>Beryozova School- New</t>
  </si>
  <si>
    <t>Dena'ina Elementary School-CEP</t>
  </si>
  <si>
    <t>Mount Edgecumbe Total</t>
  </si>
  <si>
    <t>Mt. Edgecumbe High School - CEP</t>
  </si>
  <si>
    <t>Nenana City School District Total</t>
  </si>
  <si>
    <t>Nenana City School - CEP</t>
  </si>
  <si>
    <t>Nome Public Schools Total</t>
  </si>
  <si>
    <t>Nome Elementary - CEP</t>
  </si>
  <si>
    <t>Nome-Beltz Jr/Sr High - CEP</t>
  </si>
  <si>
    <t>North Slope Borough School District Total</t>
  </si>
  <si>
    <t>Alak School</t>
  </si>
  <si>
    <t>Barrow High School</t>
  </si>
  <si>
    <t>Eben Hopson Middle School</t>
  </si>
  <si>
    <t>Fred Ipalook Elementary</t>
  </si>
  <si>
    <t>Harold Kaveolook School</t>
  </si>
  <si>
    <t>Kali School</t>
  </si>
  <si>
    <t>Kiita Learning Center (Barrow)</t>
  </si>
  <si>
    <t>Meade River School</t>
  </si>
  <si>
    <t>Nunamiut School-CEP</t>
  </si>
  <si>
    <t>Tikigaq School-CEP</t>
  </si>
  <si>
    <t>Northwest Arctic Borough School District Total</t>
  </si>
  <si>
    <t>Petersburg Borough School District Total</t>
  </si>
  <si>
    <t>St.Mary's School District</t>
  </si>
  <si>
    <t>Sitka School District Total</t>
  </si>
  <si>
    <t>Southeast Island School District Total</t>
  </si>
  <si>
    <t>Hollis School-CEP</t>
  </si>
  <si>
    <t>Howard Valentine Coffman Cove School</t>
  </si>
  <si>
    <t>Kasaan-CEP</t>
  </si>
  <si>
    <t>Naukati School</t>
  </si>
  <si>
    <t>Port Alexander School-CEP</t>
  </si>
  <si>
    <t>Whale Pass School</t>
  </si>
  <si>
    <t>Southwest Region School District Total</t>
  </si>
  <si>
    <t>Aleknagik School</t>
  </si>
  <si>
    <t>Chief Ivan Blunka School (New Stuyahok School)</t>
  </si>
  <si>
    <t>Koliganek School</t>
  </si>
  <si>
    <t>Manokotak School</t>
  </si>
  <si>
    <t>Togiak School</t>
  </si>
  <si>
    <t>Twin Hills School</t>
  </si>
  <si>
    <t>William "Sonny" Nelson School</t>
  </si>
  <si>
    <t>Unalaska City School District Total</t>
  </si>
  <si>
    <t>Valdez City School District Total</t>
  </si>
  <si>
    <t>Yukon Flats School District Total</t>
  </si>
  <si>
    <t>Yukon-Koyukuk School District Total</t>
  </si>
  <si>
    <t>Yupiit School District Total</t>
  </si>
  <si>
    <t>Akiachak School-CEP</t>
  </si>
  <si>
    <t>Akiak School-CEP</t>
  </si>
  <si>
    <t>Tuluksak School-CEP</t>
  </si>
  <si>
    <r>
      <t xml:space="preserve">Alaska Department of Education &amp; Early Development
Child Nutriton Program
National School Lunch Programs
Free and Reduced Price Meals Report
For Program Year: 2022
</t>
    </r>
    <r>
      <rPr>
        <i/>
        <sz val="14"/>
        <color theme="1"/>
        <rFont val="Calibri"/>
        <family val="2"/>
        <scheme val="minor"/>
      </rPr>
      <t>*Calculations based on CEP multiplier (ISP X 1.6) to those sites approved</t>
    </r>
  </si>
  <si>
    <t>Avail School-Dropped</t>
  </si>
  <si>
    <t xml:space="preserve">Home Flex School </t>
  </si>
  <si>
    <t>Nanwalek School</t>
  </si>
  <si>
    <t>Nikolaevsk School</t>
  </si>
  <si>
    <t xml:space="preserve">Port Graham School </t>
  </si>
  <si>
    <t>Tebughna School</t>
  </si>
  <si>
    <t>Ambler School-CEP</t>
  </si>
  <si>
    <t>Aqqaluk High/Noorvik Elementary-CEP</t>
  </si>
  <si>
    <t>Buckland School-CEP</t>
  </si>
  <si>
    <t>Davis-Ramoth School-CEP</t>
  </si>
  <si>
    <t>Deering School-CEP</t>
  </si>
  <si>
    <t>June Nelson Elementary-CEP</t>
  </si>
  <si>
    <t>Kiana School-CEP</t>
  </si>
  <si>
    <t>Kobuk School-CEP</t>
  </si>
  <si>
    <t>Kotzebue Middle/High School-CEP</t>
  </si>
  <si>
    <t>McQueen School-CEP</t>
  </si>
  <si>
    <t>Napaaqtugmiut School-CEP</t>
  </si>
  <si>
    <t>Shungnak School-CEP</t>
  </si>
  <si>
    <t>Petersburg High School-CEP</t>
  </si>
  <si>
    <t>Elicarviscuar Elementary School-CEP</t>
  </si>
  <si>
    <t>Charles R. Leask Sr. Middle School-CEP</t>
  </si>
  <si>
    <t>Metlakatla High School-CEP</t>
  </si>
  <si>
    <t>Richard Johnson Elementary-CEP</t>
  </si>
  <si>
    <t>Hoonah Schools-CEP</t>
  </si>
  <si>
    <t>Hydaburg School-CEP</t>
  </si>
  <si>
    <t>Anvil City Science Academy-CEP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</si>
</sst>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59">
    <xf numFmtId="0" fontId="0" fillId="0" borderId="0" xfId="0"/>
    <xf numFmtId="0" fontId="3" fillId="0" borderId="0" xfId="0" applyFont="1"/>
    <xf numFmtId="9" fontId="3" fillId="0" borderId="0" xfId="2" applyFont="1"/>
    <xf numFmtId="0" fontId="4" fillId="0" borderId="3" xfId="3" applyFont="1" applyBorder="1"/>
    <xf numFmtId="0" fontId="4" fillId="0" borderId="3" xfId="3" applyFont="1" applyBorder="1" applyAlignment="1">
      <alignment wrapText="1" readingOrder="1"/>
    </xf>
    <xf numFmtId="0" fontId="4" fillId="0" borderId="3" xfId="3" applyFont="1" applyBorder="1" applyAlignment="1">
      <alignment horizontal="left" wrapText="1" readingOrder="1"/>
    </xf>
    <xf numFmtId="0" fontId="5" fillId="3" borderId="2" xfId="0" applyFont="1" applyFill="1" applyBorder="1"/>
    <xf numFmtId="3" fontId="3" fillId="3" borderId="2" xfId="1" applyNumberFormat="1" applyFont="1" applyFill="1" applyBorder="1"/>
    <xf numFmtId="0" fontId="3" fillId="0" borderId="2" xfId="0" applyFont="1" applyBorder="1"/>
    <xf numFmtId="9" fontId="3" fillId="0" borderId="0" xfId="2" applyNumberFormat="1" applyFont="1"/>
    <xf numFmtId="0" fontId="3" fillId="0" borderId="0" xfId="2" applyNumberFormat="1" applyFont="1"/>
    <xf numFmtId="10" fontId="3" fillId="0" borderId="0" xfId="2" applyNumberFormat="1" applyFont="1"/>
    <xf numFmtId="3" fontId="3" fillId="0" borderId="2" xfId="0" applyNumberFormat="1" applyFont="1" applyBorder="1"/>
    <xf numFmtId="1" fontId="3" fillId="3" borderId="2" xfId="2" applyNumberFormat="1" applyFont="1" applyFill="1" applyBorder="1"/>
    <xf numFmtId="0" fontId="3" fillId="0" borderId="0" xfId="0" applyFont="1" applyFill="1"/>
    <xf numFmtId="9" fontId="3" fillId="0" borderId="0" xfId="2" applyFont="1" applyFill="1"/>
    <xf numFmtId="3" fontId="3" fillId="0" borderId="0" xfId="0" applyNumberFormat="1" applyFont="1"/>
    <xf numFmtId="3" fontId="3" fillId="3" borderId="2" xfId="0" applyNumberFormat="1" applyFont="1" applyFill="1" applyBorder="1"/>
    <xf numFmtId="0" fontId="3" fillId="4" borderId="2" xfId="0" applyFont="1" applyFill="1" applyBorder="1"/>
    <xf numFmtId="3" fontId="3" fillId="4" borderId="2" xfId="1" applyNumberFormat="1" applyFont="1" applyFill="1" applyBorder="1"/>
    <xf numFmtId="0" fontId="3" fillId="4" borderId="0" xfId="0" applyFont="1" applyFill="1"/>
    <xf numFmtId="9" fontId="3" fillId="4" borderId="0" xfId="2" applyFont="1" applyFill="1"/>
    <xf numFmtId="3" fontId="3" fillId="4" borderId="2" xfId="0" applyNumberFormat="1" applyFont="1" applyFill="1" applyBorder="1"/>
    <xf numFmtId="0" fontId="6" fillId="0" borderId="0" xfId="0" applyFont="1"/>
    <xf numFmtId="9" fontId="6" fillId="0" borderId="0" xfId="2" applyFont="1"/>
    <xf numFmtId="3" fontId="8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5" xfId="0" applyFont="1" applyBorder="1"/>
    <xf numFmtId="0" fontId="4" fillId="0" borderId="6" xfId="3" applyFont="1" applyBorder="1"/>
    <xf numFmtId="0" fontId="9" fillId="0" borderId="0" xfId="0" applyFont="1" applyBorder="1"/>
    <xf numFmtId="10" fontId="3" fillId="5" borderId="2" xfId="0" applyNumberFormat="1" applyFont="1" applyFill="1" applyBorder="1"/>
    <xf numFmtId="10" fontId="3" fillId="5" borderId="2" xfId="2" applyNumberFormat="1" applyFont="1" applyFill="1" applyBorder="1"/>
    <xf numFmtId="10" fontId="4" fillId="0" borderId="7" xfId="3" applyNumberFormat="1" applyFont="1" applyBorder="1" applyAlignment="1">
      <alignment horizontal="center" wrapText="1" readingOrder="1"/>
    </xf>
    <xf numFmtId="10" fontId="3" fillId="0" borderId="0" xfId="2" applyNumberFormat="1" applyFont="1" applyFill="1" applyBorder="1"/>
    <xf numFmtId="10" fontId="3" fillId="0" borderId="0" xfId="0" applyNumberFormat="1" applyFont="1"/>
    <xf numFmtId="0" fontId="5" fillId="2" borderId="2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3" fontId="3" fillId="2" borderId="2" xfId="0" applyNumberFormat="1" applyFont="1" applyFill="1" applyBorder="1"/>
    <xf numFmtId="10" fontId="3" fillId="2" borderId="2" xfId="2" applyNumberFormat="1" applyFont="1" applyFill="1" applyBorder="1"/>
    <xf numFmtId="10" fontId="3" fillId="3" borderId="2" xfId="2" applyNumberFormat="1" applyFont="1" applyFill="1" applyBorder="1"/>
    <xf numFmtId="0" fontId="8" fillId="0" borderId="2" xfId="0" applyFont="1" applyBorder="1" applyAlignment="1">
      <alignment horizontal="right" vertical="top" wrapText="1"/>
    </xf>
    <xf numFmtId="9" fontId="3" fillId="5" borderId="2" xfId="2" applyFont="1" applyFill="1" applyBorder="1"/>
    <xf numFmtId="1" fontId="8" fillId="0" borderId="2" xfId="0" applyNumberFormat="1" applyFont="1" applyBorder="1" applyAlignment="1">
      <alignment horizontal="right" vertical="top" wrapText="1"/>
    </xf>
    <xf numFmtId="9" fontId="3" fillId="5" borderId="2" xfId="0" applyNumberFormat="1" applyFont="1" applyFill="1" applyBorder="1"/>
    <xf numFmtId="1" fontId="8" fillId="6" borderId="2" xfId="0" applyNumberFormat="1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 vertical="top" wrapText="1"/>
    </xf>
    <xf numFmtId="3" fontId="8" fillId="0" borderId="2" xfId="0" applyNumberFormat="1" applyFont="1" applyBorder="1" applyAlignment="1">
      <alignment horizontal="right" vertical="top" wrapText="1"/>
    </xf>
    <xf numFmtId="0" fontId="3" fillId="5" borderId="2" xfId="0" applyFont="1" applyFill="1" applyBorder="1"/>
    <xf numFmtId="0" fontId="8" fillId="7" borderId="2" xfId="0" applyFont="1" applyFill="1" applyBorder="1" applyAlignment="1">
      <alignment horizontal="right" vertical="top" wrapText="1"/>
    </xf>
    <xf numFmtId="9" fontId="3" fillId="3" borderId="2" xfId="2" applyFont="1" applyFill="1" applyBorder="1"/>
    <xf numFmtId="1" fontId="8" fillId="4" borderId="2" xfId="0" applyNumberFormat="1" applyFont="1" applyFill="1" applyBorder="1" applyAlignment="1">
      <alignment horizontal="right" vertical="top" wrapText="1"/>
    </xf>
    <xf numFmtId="0" fontId="8" fillId="4" borderId="2" xfId="0" applyFont="1" applyFill="1" applyBorder="1" applyAlignment="1">
      <alignment horizontal="right" vertical="top" wrapText="1"/>
    </xf>
    <xf numFmtId="10" fontId="3" fillId="3" borderId="2" xfId="0" applyNumberFormat="1" applyFont="1" applyFill="1" applyBorder="1"/>
    <xf numFmtId="3" fontId="3" fillId="6" borderId="2" xfId="0" applyNumberFormat="1" applyFont="1" applyFill="1" applyBorder="1"/>
    <xf numFmtId="3" fontId="3" fillId="0" borderId="4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4">
    <cellStyle name="Comma" xfId="1" builtinId="3"/>
    <cellStyle name="Heading 3" xfId="3" builtinId="18"/>
    <cellStyle name="Normal" xfId="0" builtinId="0"/>
    <cellStyle name="Percent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4" formatCode="0.00%"/>
      <fill>
        <patternFill patternType="solid">
          <fgColor indexed="64"/>
          <bgColor rgb="FFFFCC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CC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460" totalsRowShown="0" dataDxfId="7" headerRowBorderDxfId="8" tableBorderDxfId="6">
  <autoFilter ref="A2:F460" xr:uid="{00000000-0009-0000-0100-000001000000}"/>
  <tableColumns count="6">
    <tableColumn id="1" xr3:uid="{00000000-0010-0000-0000-000001000000}" name="District" dataDxfId="5"/>
    <tableColumn id="2" xr3:uid="{00000000-0010-0000-0000-000002000000}" name="School" dataDxfId="4"/>
    <tableColumn id="3" xr3:uid="{00000000-0010-0000-0000-000003000000}" name="Free" dataDxfId="3"/>
    <tableColumn id="4" xr3:uid="{00000000-0010-0000-0000-000004000000}" name="Reduced" dataDxfId="2"/>
    <tableColumn id="5" xr3:uid="{00000000-0010-0000-0000-000005000000}" name="Enrolled" dataDxfId="1"/>
    <tableColumn id="6" xr3:uid="{00000000-0010-0000-0000-000006000000}" name="% F&amp; R" dataDxfId="0" dataCellStyle="Percent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Alaska Department of Education &amp; Early Development_x000d__x000a_Child Nutriton Program_x000d__x000a_National School Lunch Programs_x000d__x000a_Free and Reduced Price Meals Report_x000d__x000a_For Program Year: 2018_x000d__x000a_*Calculations based on CEP multipler (ISP X 1.6) to those sites approv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3"/>
  <sheetViews>
    <sheetView tabSelected="1" zoomScale="85" zoomScaleNormal="85" workbookViewId="0">
      <pane xSplit="6" ySplit="2" topLeftCell="G3" activePane="bottomRight" state="frozenSplit"/>
      <selection pane="topRight" activeCell="G1" sqref="G1"/>
      <selection pane="bottomLeft" activeCell="A2" sqref="A2"/>
      <selection pane="bottomRight" activeCell="F241" sqref="F241"/>
    </sheetView>
  </sheetViews>
  <sheetFormatPr defaultColWidth="0" defaultRowHeight="15.75" zeroHeight="1" x14ac:dyDescent="0.25"/>
  <cols>
    <col min="1" max="1" width="47.28515625" style="1" bestFit="1" customWidth="1"/>
    <col min="2" max="2" width="49.42578125" style="1" customWidth="1"/>
    <col min="3" max="3" width="10.5703125" style="16" customWidth="1"/>
    <col min="4" max="4" width="11" style="16" customWidth="1"/>
    <col min="5" max="5" width="10.85546875" style="16" customWidth="1"/>
    <col min="6" max="6" width="12.5703125" style="35" customWidth="1"/>
    <col min="7" max="7" width="8.85546875" style="2" hidden="1" customWidth="1"/>
    <col min="8" max="8" width="10" style="1" hidden="1" customWidth="1"/>
    <col min="9" max="9" width="0" style="2" hidden="1" customWidth="1"/>
    <col min="10" max="10" width="27.7109375" style="1" hidden="1" customWidth="1"/>
    <col min="11" max="11" width="0.85546875" style="1" hidden="1" customWidth="1"/>
    <col min="12" max="16" width="0" style="1" hidden="1" customWidth="1"/>
    <col min="17" max="17" width="8.85546875" style="1" hidden="1" customWidth="1"/>
    <col min="18" max="18" width="10" style="1" hidden="1" customWidth="1"/>
    <col min="19" max="20" width="0" style="1" hidden="1" customWidth="1"/>
    <col min="21" max="16384" width="8.85546875" style="1" hidden="1"/>
  </cols>
  <sheetData>
    <row r="1" spans="1:9" s="23" customFormat="1" ht="132" customHeight="1" x14ac:dyDescent="0.3">
      <c r="A1" s="57" t="s">
        <v>482</v>
      </c>
      <c r="B1" s="58"/>
      <c r="C1" s="58"/>
      <c r="D1" s="58"/>
      <c r="E1" s="58"/>
      <c r="F1" s="58"/>
      <c r="G1" s="24"/>
      <c r="I1" s="24"/>
    </row>
    <row r="2" spans="1:9" x14ac:dyDescent="0.25">
      <c r="A2" s="29" t="s">
        <v>0</v>
      </c>
      <c r="B2" s="3" t="s">
        <v>1</v>
      </c>
      <c r="C2" s="4" t="s">
        <v>2</v>
      </c>
      <c r="D2" s="4" t="s">
        <v>3</v>
      </c>
      <c r="E2" s="5" t="s">
        <v>4</v>
      </c>
      <c r="F2" s="33" t="s">
        <v>5</v>
      </c>
    </row>
    <row r="3" spans="1:9" x14ac:dyDescent="0.25">
      <c r="A3" s="36" t="s">
        <v>6</v>
      </c>
      <c r="B3" s="37"/>
      <c r="C3" s="39">
        <f>C4+C12+C95+C99+C115+C118+C120+C123+C126+C129+C133+C136+C172+C176+C179+C181+C183+C191+C205+C207+C209+C244+C253+C255+C267+C277+C290+C319+C331+C370+C372+C374+C378+C390+C403+C407+C409+C415+C424+C433+C436+C440+C447+C457</f>
        <v>45358.507499999992</v>
      </c>
      <c r="D3" s="39">
        <f>D4+D12+D95+D99+D115+D118+D120+D123+D126+D129+D133+D136+D172+D176+D179+D181+D183+D191+D205+D207+D209+D244+D253+D255+D267+D277+D290+D319+D331+D370+D372+D374+D378+D390+D403+D407+D409+D415+D424+D433+D436+D440+D447+D457</f>
        <v>1704</v>
      </c>
      <c r="E3" s="39">
        <f>E4+E12+E95+E99+E115+E118+E120+E123+E126+E129+E133+E136+E172+E176+E179+E181+E183+E191+E205+E207+E209+E244+E253+E255+E267+E277+E290+E319+E331+E370+E372+E374+E378+E390+E403+E407+E409+E415+E424+E433+E436+E440+E447+E457</f>
        <v>103046</v>
      </c>
      <c r="F3" s="40">
        <f t="shared" ref="F3:F4" si="0">(C3+D3)/E3</f>
        <v>0.4567135793723191</v>
      </c>
    </row>
    <row r="4" spans="1:9" x14ac:dyDescent="0.25">
      <c r="A4" s="6" t="s">
        <v>344</v>
      </c>
      <c r="B4" s="38"/>
      <c r="C4" s="7">
        <f>SUM(C5:C11)</f>
        <v>339.68</v>
      </c>
      <c r="D4" s="7">
        <f>SUM(D5:D11)</f>
        <v>0</v>
      </c>
      <c r="E4" s="7">
        <f>SUM(E5:E11)</f>
        <v>340</v>
      </c>
      <c r="F4" s="41">
        <f t="shared" si="0"/>
        <v>0.99905882352941178</v>
      </c>
      <c r="G4" s="9"/>
      <c r="H4" s="10"/>
      <c r="I4" s="9"/>
    </row>
    <row r="5" spans="1:9" x14ac:dyDescent="0.25">
      <c r="A5" s="8" t="s">
        <v>7</v>
      </c>
      <c r="B5" s="8" t="s">
        <v>345</v>
      </c>
      <c r="C5" s="25">
        <f>E5*0.96</f>
        <v>7.68</v>
      </c>
      <c r="D5" s="42">
        <v>0</v>
      </c>
      <c r="E5" s="42">
        <v>8</v>
      </c>
      <c r="F5" s="32">
        <v>0.96</v>
      </c>
      <c r="G5" s="11"/>
      <c r="I5" s="9"/>
    </row>
    <row r="6" spans="1:9" x14ac:dyDescent="0.25">
      <c r="A6" s="8" t="s">
        <v>7</v>
      </c>
      <c r="B6" s="8" t="s">
        <v>346</v>
      </c>
      <c r="C6" s="25">
        <f>E6*1</f>
        <v>12</v>
      </c>
      <c r="D6" s="42">
        <v>0</v>
      </c>
      <c r="E6" s="42">
        <v>12</v>
      </c>
      <c r="F6" s="43">
        <v>1</v>
      </c>
      <c r="G6" s="11"/>
      <c r="I6" s="9"/>
    </row>
    <row r="7" spans="1:9" x14ac:dyDescent="0.25">
      <c r="A7" s="8" t="s">
        <v>7</v>
      </c>
      <c r="B7" s="8" t="s">
        <v>347</v>
      </c>
      <c r="C7" s="25">
        <f t="shared" ref="C7:C11" si="1">E7*1</f>
        <v>35</v>
      </c>
      <c r="D7" s="42">
        <v>0</v>
      </c>
      <c r="E7" s="42">
        <v>35</v>
      </c>
      <c r="F7" s="43">
        <v>1</v>
      </c>
      <c r="G7" s="11"/>
      <c r="I7" s="9"/>
    </row>
    <row r="8" spans="1:9" x14ac:dyDescent="0.25">
      <c r="A8" s="8" t="s">
        <v>7</v>
      </c>
      <c r="B8" s="8" t="s">
        <v>348</v>
      </c>
      <c r="C8" s="25">
        <f t="shared" si="1"/>
        <v>12</v>
      </c>
      <c r="D8" s="42">
        <v>0</v>
      </c>
      <c r="E8" s="42">
        <v>12</v>
      </c>
      <c r="F8" s="43">
        <v>1</v>
      </c>
      <c r="G8" s="11"/>
      <c r="I8" s="9"/>
    </row>
    <row r="9" spans="1:9" x14ac:dyDescent="0.25">
      <c r="A9" s="8" t="s">
        <v>7</v>
      </c>
      <c r="B9" s="8" t="s">
        <v>349</v>
      </c>
      <c r="C9" s="25">
        <f t="shared" si="1"/>
        <v>45</v>
      </c>
      <c r="D9" s="42">
        <v>0</v>
      </c>
      <c r="E9" s="42">
        <v>45</v>
      </c>
      <c r="F9" s="43">
        <v>1</v>
      </c>
      <c r="G9" s="11"/>
      <c r="I9" s="9"/>
    </row>
    <row r="10" spans="1:9" x14ac:dyDescent="0.25">
      <c r="A10" s="8" t="s">
        <v>7</v>
      </c>
      <c r="B10" s="8" t="s">
        <v>350</v>
      </c>
      <c r="C10" s="25">
        <f t="shared" si="1"/>
        <v>177</v>
      </c>
      <c r="D10" s="42">
        <v>0</v>
      </c>
      <c r="E10" s="42">
        <v>177</v>
      </c>
      <c r="F10" s="43">
        <v>1</v>
      </c>
      <c r="G10" s="11"/>
      <c r="I10" s="9"/>
    </row>
    <row r="11" spans="1:9" x14ac:dyDescent="0.25">
      <c r="A11" s="8" t="s">
        <v>7</v>
      </c>
      <c r="B11" s="8" t="s">
        <v>351</v>
      </c>
      <c r="C11" s="25">
        <f t="shared" si="1"/>
        <v>51</v>
      </c>
      <c r="D11" s="42">
        <v>0</v>
      </c>
      <c r="E11" s="42">
        <v>51</v>
      </c>
      <c r="F11" s="43">
        <v>1</v>
      </c>
    </row>
    <row r="12" spans="1:9" x14ac:dyDescent="0.25">
      <c r="A12" s="6" t="s">
        <v>352</v>
      </c>
      <c r="B12" s="38"/>
      <c r="C12" s="7">
        <f>SUM(C13:C94)</f>
        <v>16343.164400000001</v>
      </c>
      <c r="D12" s="7">
        <f>SUM(D13:D94)</f>
        <v>341</v>
      </c>
      <c r="E12" s="7">
        <f>SUM(E13:E94)</f>
        <v>38731</v>
      </c>
      <c r="F12" s="41">
        <f t="shared" ref="F12" si="2">(C12+D12)/E12</f>
        <v>0.43077029769435338</v>
      </c>
    </row>
    <row r="13" spans="1:9" x14ac:dyDescent="0.25">
      <c r="A13" s="8" t="s">
        <v>8</v>
      </c>
      <c r="B13" s="18" t="s">
        <v>262</v>
      </c>
      <c r="C13" s="44">
        <f>E13*0.652</f>
        <v>179.3</v>
      </c>
      <c r="D13" s="42">
        <v>0</v>
      </c>
      <c r="E13" s="42">
        <v>275</v>
      </c>
      <c r="F13" s="31">
        <v>0.65200000000000002</v>
      </c>
    </row>
    <row r="14" spans="1:9" x14ac:dyDescent="0.25">
      <c r="A14" s="8" t="s">
        <v>8</v>
      </c>
      <c r="B14" s="18" t="s">
        <v>212</v>
      </c>
      <c r="C14" s="44">
        <f>E14*1</f>
        <v>281</v>
      </c>
      <c r="D14" s="42">
        <v>0</v>
      </c>
      <c r="E14" s="42">
        <v>281</v>
      </c>
      <c r="F14" s="45">
        <v>1</v>
      </c>
    </row>
    <row r="15" spans="1:9" x14ac:dyDescent="0.25">
      <c r="A15" s="8" t="s">
        <v>8</v>
      </c>
      <c r="B15" s="18" t="s">
        <v>213</v>
      </c>
      <c r="C15" s="44">
        <f>E15*0.9465</f>
        <v>223.374</v>
      </c>
      <c r="D15" s="42">
        <v>0</v>
      </c>
      <c r="E15" s="42">
        <v>236</v>
      </c>
      <c r="F15" s="31">
        <v>0.94650000000000001</v>
      </c>
    </row>
    <row r="16" spans="1:9" x14ac:dyDescent="0.25">
      <c r="A16" s="8" t="s">
        <v>8</v>
      </c>
      <c r="B16" s="18" t="s">
        <v>9</v>
      </c>
      <c r="C16" s="42">
        <v>33</v>
      </c>
      <c r="D16" s="42">
        <v>2</v>
      </c>
      <c r="E16" s="42">
        <v>365</v>
      </c>
      <c r="F16" s="31">
        <f>(C16+D16)/E16</f>
        <v>9.5890410958904104E-2</v>
      </c>
    </row>
    <row r="17" spans="1:6" x14ac:dyDescent="0.25">
      <c r="A17" s="8" t="s">
        <v>8</v>
      </c>
      <c r="B17" s="18" t="s">
        <v>10</v>
      </c>
      <c r="C17" s="42">
        <v>14</v>
      </c>
      <c r="D17" s="42">
        <v>10</v>
      </c>
      <c r="E17" s="42">
        <v>322</v>
      </c>
      <c r="F17" s="31">
        <f>(C17+D17)/E17</f>
        <v>7.4534161490683232E-2</v>
      </c>
    </row>
    <row r="18" spans="1:6" x14ac:dyDescent="0.25">
      <c r="A18" s="8" t="s">
        <v>8</v>
      </c>
      <c r="B18" s="18" t="s">
        <v>483</v>
      </c>
      <c r="C18" s="46"/>
      <c r="D18" s="47"/>
      <c r="E18" s="47"/>
      <c r="F18" s="45">
        <v>0</v>
      </c>
    </row>
    <row r="19" spans="1:6" x14ac:dyDescent="0.25">
      <c r="A19" s="8" t="s">
        <v>8</v>
      </c>
      <c r="B19" s="18" t="s">
        <v>214</v>
      </c>
      <c r="C19" s="48">
        <f>E19*0.6745</f>
        <v>952.39400000000001</v>
      </c>
      <c r="D19" s="42">
        <v>0</v>
      </c>
      <c r="E19" s="48">
        <v>1412</v>
      </c>
      <c r="F19" s="31">
        <v>0.67449999999999999</v>
      </c>
    </row>
    <row r="20" spans="1:6" x14ac:dyDescent="0.25">
      <c r="A20" s="8" t="s">
        <v>8</v>
      </c>
      <c r="B20" s="18" t="s">
        <v>215</v>
      </c>
      <c r="C20" s="44">
        <f>E20*0.5753</f>
        <v>125.9907</v>
      </c>
      <c r="D20" s="42">
        <v>0</v>
      </c>
      <c r="E20" s="42">
        <v>219</v>
      </c>
      <c r="F20" s="31">
        <v>0.57530000000000003</v>
      </c>
    </row>
    <row r="21" spans="1:6" x14ac:dyDescent="0.25">
      <c r="A21" s="8" t="s">
        <v>8</v>
      </c>
      <c r="B21" s="18" t="s">
        <v>11</v>
      </c>
      <c r="C21" s="42">
        <v>58</v>
      </c>
      <c r="D21" s="42">
        <v>7</v>
      </c>
      <c r="E21" s="42">
        <v>433</v>
      </c>
      <c r="F21" s="31">
        <f>(C21+D21)/E21</f>
        <v>0.15011547344110854</v>
      </c>
    </row>
    <row r="22" spans="1:6" x14ac:dyDescent="0.25">
      <c r="A22" s="8" t="s">
        <v>8</v>
      </c>
      <c r="B22" s="18" t="s">
        <v>12</v>
      </c>
      <c r="C22" s="42">
        <v>11</v>
      </c>
      <c r="D22" s="42">
        <v>1</v>
      </c>
      <c r="E22" s="42">
        <v>387</v>
      </c>
      <c r="F22" s="31">
        <f>(C22+D22)/E22</f>
        <v>3.1007751937984496E-2</v>
      </c>
    </row>
    <row r="23" spans="1:6" x14ac:dyDescent="0.25">
      <c r="A23" s="8" t="s">
        <v>8</v>
      </c>
      <c r="B23" s="18" t="s">
        <v>263</v>
      </c>
      <c r="C23" s="44">
        <f>E23*0.9728</f>
        <v>291.83999999999997</v>
      </c>
      <c r="D23" s="42">
        <v>0</v>
      </c>
      <c r="E23" s="42">
        <v>300</v>
      </c>
      <c r="F23" s="31">
        <v>0.9728</v>
      </c>
    </row>
    <row r="24" spans="1:6" x14ac:dyDescent="0.25">
      <c r="A24" s="8" t="s">
        <v>8</v>
      </c>
      <c r="B24" s="18" t="s">
        <v>321</v>
      </c>
      <c r="C24" s="42">
        <v>27</v>
      </c>
      <c r="D24" s="42">
        <v>4</v>
      </c>
      <c r="E24" s="42">
        <v>209</v>
      </c>
      <c r="F24" s="31">
        <f>(C24+D24)/E24</f>
        <v>0.14832535885167464</v>
      </c>
    </row>
    <row r="25" spans="1:6" x14ac:dyDescent="0.25">
      <c r="A25" s="8" t="s">
        <v>8</v>
      </c>
      <c r="B25" s="18" t="s">
        <v>13</v>
      </c>
      <c r="C25" s="42">
        <v>99</v>
      </c>
      <c r="D25" s="42">
        <v>2</v>
      </c>
      <c r="E25" s="42">
        <v>511</v>
      </c>
      <c r="F25" s="31">
        <f t="shared" ref="F25:F26" si="3">(C25+D25)/E25</f>
        <v>0.19765166340508805</v>
      </c>
    </row>
    <row r="26" spans="1:6" x14ac:dyDescent="0.25">
      <c r="A26" s="8" t="s">
        <v>8</v>
      </c>
      <c r="B26" s="18" t="s">
        <v>14</v>
      </c>
      <c r="C26" s="42">
        <v>146</v>
      </c>
      <c r="D26" s="42">
        <v>9</v>
      </c>
      <c r="E26" s="42">
        <v>420</v>
      </c>
      <c r="F26" s="31">
        <f t="shared" si="3"/>
        <v>0.36904761904761907</v>
      </c>
    </row>
    <row r="27" spans="1:6" x14ac:dyDescent="0.25">
      <c r="A27" s="8" t="s">
        <v>8</v>
      </c>
      <c r="B27" s="18" t="s">
        <v>264</v>
      </c>
      <c r="C27" s="44">
        <f>E27*0.7978</f>
        <v>284.81459999999998</v>
      </c>
      <c r="D27" s="42">
        <v>0</v>
      </c>
      <c r="E27" s="42">
        <v>357</v>
      </c>
      <c r="F27" s="31">
        <v>0.79779999999999995</v>
      </c>
    </row>
    <row r="28" spans="1:6" x14ac:dyDescent="0.25">
      <c r="A28" s="8" t="s">
        <v>8</v>
      </c>
      <c r="B28" s="18" t="s">
        <v>216</v>
      </c>
      <c r="C28" s="44">
        <f>E28*0.7668</f>
        <v>202.43520000000001</v>
      </c>
      <c r="D28" s="42">
        <v>0</v>
      </c>
      <c r="E28" s="42">
        <v>264</v>
      </c>
      <c r="F28" s="31">
        <v>0.76680000000000004</v>
      </c>
    </row>
    <row r="29" spans="1:6" x14ac:dyDescent="0.25">
      <c r="A29" s="8" t="s">
        <v>8</v>
      </c>
      <c r="B29" s="18" t="s">
        <v>217</v>
      </c>
      <c r="C29" s="44">
        <f>E29*0.7363</f>
        <v>343.85209999999995</v>
      </c>
      <c r="D29" s="42">
        <v>0</v>
      </c>
      <c r="E29" s="42">
        <v>467</v>
      </c>
      <c r="F29" s="31">
        <v>0.73629999999999995</v>
      </c>
    </row>
    <row r="30" spans="1:6" x14ac:dyDescent="0.25">
      <c r="A30" s="8" t="s">
        <v>8</v>
      </c>
      <c r="B30" s="18" t="s">
        <v>15</v>
      </c>
      <c r="C30" s="42">
        <v>21</v>
      </c>
      <c r="D30" s="42">
        <v>1</v>
      </c>
      <c r="E30" s="42">
        <v>226</v>
      </c>
      <c r="F30" s="31">
        <f t="shared" ref="F30:F32" si="4">(C30+D30)/E30</f>
        <v>9.7345132743362831E-2</v>
      </c>
    </row>
    <row r="31" spans="1:6" x14ac:dyDescent="0.25">
      <c r="A31" s="8" t="s">
        <v>8</v>
      </c>
      <c r="B31" s="18" t="s">
        <v>16</v>
      </c>
      <c r="C31" s="42">
        <v>48</v>
      </c>
      <c r="D31" s="42">
        <v>9</v>
      </c>
      <c r="E31" s="42">
        <v>426</v>
      </c>
      <c r="F31" s="31">
        <f t="shared" si="4"/>
        <v>0.13380281690140844</v>
      </c>
    </row>
    <row r="32" spans="1:6" x14ac:dyDescent="0.25">
      <c r="A32" s="8" t="s">
        <v>8</v>
      </c>
      <c r="B32" s="18" t="s">
        <v>17</v>
      </c>
      <c r="C32" s="42">
        <v>119</v>
      </c>
      <c r="D32" s="42">
        <v>11</v>
      </c>
      <c r="E32" s="48">
        <v>873</v>
      </c>
      <c r="F32" s="31">
        <f t="shared" si="4"/>
        <v>0.14891179839633448</v>
      </c>
    </row>
    <row r="33" spans="1:6" x14ac:dyDescent="0.25">
      <c r="A33" s="8" t="s">
        <v>8</v>
      </c>
      <c r="B33" s="18" t="s">
        <v>218</v>
      </c>
      <c r="C33" s="44">
        <f>E33*0.9779</f>
        <v>900.64589999999998</v>
      </c>
      <c r="D33" s="48">
        <v>0</v>
      </c>
      <c r="E33" s="48">
        <v>921</v>
      </c>
      <c r="F33" s="31">
        <v>0.97789999999999999</v>
      </c>
    </row>
    <row r="34" spans="1:6" x14ac:dyDescent="0.25">
      <c r="A34" s="8" t="s">
        <v>8</v>
      </c>
      <c r="B34" s="18" t="s">
        <v>265</v>
      </c>
      <c r="C34" s="44">
        <f>E34*0.5915</f>
        <v>226.5445</v>
      </c>
      <c r="D34" s="48">
        <v>0</v>
      </c>
      <c r="E34" s="42">
        <v>383</v>
      </c>
      <c r="F34" s="31">
        <v>0.59150000000000003</v>
      </c>
    </row>
    <row r="35" spans="1:6" x14ac:dyDescent="0.25">
      <c r="A35" s="8" t="s">
        <v>8</v>
      </c>
      <c r="B35" s="18" t="s">
        <v>219</v>
      </c>
      <c r="C35" s="48">
        <f>E35*0.8546</f>
        <v>352.94980000000004</v>
      </c>
      <c r="D35" s="48">
        <v>0</v>
      </c>
      <c r="E35" s="42">
        <v>413</v>
      </c>
      <c r="F35" s="31">
        <v>0.85460000000000003</v>
      </c>
    </row>
    <row r="36" spans="1:6" x14ac:dyDescent="0.25">
      <c r="A36" s="8" t="s">
        <v>8</v>
      </c>
      <c r="B36" s="18" t="s">
        <v>18</v>
      </c>
      <c r="C36" s="42">
        <v>136</v>
      </c>
      <c r="D36" s="42">
        <v>9</v>
      </c>
      <c r="E36" s="42">
        <v>421</v>
      </c>
      <c r="F36" s="31">
        <f t="shared" ref="F36:F39" si="5">(C36+D36)/E36</f>
        <v>0.34441805225653205</v>
      </c>
    </row>
    <row r="37" spans="1:6" x14ac:dyDescent="0.25">
      <c r="A37" s="8" t="s">
        <v>8</v>
      </c>
      <c r="B37" s="18" t="s">
        <v>19</v>
      </c>
      <c r="C37" s="42">
        <v>283</v>
      </c>
      <c r="D37" s="42">
        <v>26</v>
      </c>
      <c r="E37" s="48">
        <v>1440</v>
      </c>
      <c r="F37" s="31">
        <f>(C37+D37)/E37</f>
        <v>0.21458333333333332</v>
      </c>
    </row>
    <row r="38" spans="1:6" x14ac:dyDescent="0.25">
      <c r="A38" s="8" t="s">
        <v>8</v>
      </c>
      <c r="B38" s="18" t="s">
        <v>353</v>
      </c>
      <c r="C38" s="42">
        <v>58</v>
      </c>
      <c r="D38" s="42">
        <v>3</v>
      </c>
      <c r="E38" s="48">
        <v>306</v>
      </c>
      <c r="F38" s="31">
        <f>(C38+D38)/E38</f>
        <v>0.19934640522875818</v>
      </c>
    </row>
    <row r="39" spans="1:6" x14ac:dyDescent="0.25">
      <c r="A39" s="8" t="s">
        <v>8</v>
      </c>
      <c r="B39" s="18" t="s">
        <v>20</v>
      </c>
      <c r="C39" s="42">
        <v>33</v>
      </c>
      <c r="D39" s="42">
        <v>7</v>
      </c>
      <c r="E39" s="42">
        <v>815</v>
      </c>
      <c r="F39" s="31">
        <f t="shared" si="5"/>
        <v>4.9079754601226995E-2</v>
      </c>
    </row>
    <row r="40" spans="1:6" x14ac:dyDescent="0.25">
      <c r="A40" s="8" t="s">
        <v>8</v>
      </c>
      <c r="B40" s="18" t="s">
        <v>220</v>
      </c>
      <c r="C40" s="44">
        <f>E40*0.7628</f>
        <v>1350.1559999999999</v>
      </c>
      <c r="D40" s="42">
        <v>0</v>
      </c>
      <c r="E40" s="48">
        <v>1770</v>
      </c>
      <c r="F40" s="31">
        <v>0.76280000000000003</v>
      </c>
    </row>
    <row r="41" spans="1:6" x14ac:dyDescent="0.25">
      <c r="A41" s="8" t="s">
        <v>8</v>
      </c>
      <c r="B41" s="18" t="s">
        <v>221</v>
      </c>
      <c r="C41" s="44">
        <f>E41*1</f>
        <v>369</v>
      </c>
      <c r="D41" s="42">
        <v>0</v>
      </c>
      <c r="E41" s="42">
        <v>369</v>
      </c>
      <c r="F41" s="45">
        <v>1</v>
      </c>
    </row>
    <row r="42" spans="1:6" x14ac:dyDescent="0.25">
      <c r="A42" s="8" t="s">
        <v>8</v>
      </c>
      <c r="B42" s="18" t="s">
        <v>21</v>
      </c>
      <c r="C42" s="42">
        <v>37</v>
      </c>
      <c r="D42" s="42">
        <v>3</v>
      </c>
      <c r="E42" s="42">
        <v>243</v>
      </c>
      <c r="F42" s="31">
        <f t="shared" ref="F42:F45" si="6">(C42+D42)/E42</f>
        <v>0.16460905349794239</v>
      </c>
    </row>
    <row r="43" spans="1:6" x14ac:dyDescent="0.25">
      <c r="A43" s="8" t="s">
        <v>8</v>
      </c>
      <c r="B43" s="18" t="s">
        <v>22</v>
      </c>
      <c r="C43" s="42">
        <v>7</v>
      </c>
      <c r="D43" s="42">
        <v>0</v>
      </c>
      <c r="E43" s="42">
        <v>187</v>
      </c>
      <c r="F43" s="31">
        <f t="shared" si="6"/>
        <v>3.7433155080213901E-2</v>
      </c>
    </row>
    <row r="44" spans="1:6" x14ac:dyDescent="0.25">
      <c r="A44" s="8" t="s">
        <v>8</v>
      </c>
      <c r="B44" s="18" t="s">
        <v>329</v>
      </c>
      <c r="C44" s="44">
        <f>E44*0.7507</f>
        <v>249.23240000000001</v>
      </c>
      <c r="D44" s="42">
        <v>0</v>
      </c>
      <c r="E44" s="42">
        <v>332</v>
      </c>
      <c r="F44" s="31">
        <v>0.75070000000000003</v>
      </c>
    </row>
    <row r="45" spans="1:6" x14ac:dyDescent="0.25">
      <c r="A45" s="8" t="s">
        <v>8</v>
      </c>
      <c r="B45" s="18" t="s">
        <v>23</v>
      </c>
      <c r="C45" s="42">
        <v>86</v>
      </c>
      <c r="D45" s="42">
        <v>5</v>
      </c>
      <c r="E45" s="42">
        <v>686</v>
      </c>
      <c r="F45" s="31">
        <f t="shared" si="6"/>
        <v>0.1326530612244898</v>
      </c>
    </row>
    <row r="46" spans="1:6" x14ac:dyDescent="0.25">
      <c r="A46" s="8" t="s">
        <v>8</v>
      </c>
      <c r="B46" s="18" t="s">
        <v>282</v>
      </c>
      <c r="C46" s="44">
        <f>E46*0.5707</f>
        <v>270.51179999999999</v>
      </c>
      <c r="D46" s="42">
        <v>0</v>
      </c>
      <c r="E46" s="42">
        <v>474</v>
      </c>
      <c r="F46" s="31">
        <v>0.57069999999999999</v>
      </c>
    </row>
    <row r="47" spans="1:6" x14ac:dyDescent="0.25">
      <c r="A47" s="8" t="s">
        <v>8</v>
      </c>
      <c r="B47" s="18" t="s">
        <v>354</v>
      </c>
      <c r="C47" s="42">
        <v>0</v>
      </c>
      <c r="D47" s="42">
        <v>0</v>
      </c>
      <c r="E47" s="42">
        <v>0</v>
      </c>
      <c r="F47" s="49">
        <v>0</v>
      </c>
    </row>
    <row r="48" spans="1:6" x14ac:dyDescent="0.25">
      <c r="A48" s="8" t="s">
        <v>8</v>
      </c>
      <c r="B48" s="18" t="s">
        <v>24</v>
      </c>
      <c r="C48" s="42">
        <v>207</v>
      </c>
      <c r="D48" s="42">
        <v>9</v>
      </c>
      <c r="E48" s="42">
        <v>704</v>
      </c>
      <c r="F48" s="31">
        <f t="shared" ref="F48:F58" si="7">(C48+D48)/E48</f>
        <v>0.30681818181818182</v>
      </c>
    </row>
    <row r="49" spans="1:6" x14ac:dyDescent="0.25">
      <c r="A49" s="8" t="s">
        <v>8</v>
      </c>
      <c r="B49" s="18" t="s">
        <v>25</v>
      </c>
      <c r="C49" s="42">
        <v>25</v>
      </c>
      <c r="D49" s="42">
        <v>0</v>
      </c>
      <c r="E49" s="42">
        <v>275</v>
      </c>
      <c r="F49" s="31">
        <f t="shared" si="7"/>
        <v>9.0909090909090912E-2</v>
      </c>
    </row>
    <row r="50" spans="1:6" x14ac:dyDescent="0.25">
      <c r="A50" s="8" t="s">
        <v>8</v>
      </c>
      <c r="B50" s="18" t="s">
        <v>26</v>
      </c>
      <c r="C50" s="42">
        <v>44</v>
      </c>
      <c r="D50" s="42">
        <v>1</v>
      </c>
      <c r="E50" s="42">
        <v>361</v>
      </c>
      <c r="F50" s="31">
        <f t="shared" si="7"/>
        <v>0.12465373961218837</v>
      </c>
    </row>
    <row r="51" spans="1:6" x14ac:dyDescent="0.25">
      <c r="A51" s="8" t="s">
        <v>8</v>
      </c>
      <c r="B51" s="18" t="s">
        <v>27</v>
      </c>
      <c r="C51" s="42">
        <v>49</v>
      </c>
      <c r="D51" s="42">
        <v>1</v>
      </c>
      <c r="E51" s="42">
        <v>217</v>
      </c>
      <c r="F51" s="31">
        <f t="shared" si="7"/>
        <v>0.2304147465437788</v>
      </c>
    </row>
    <row r="52" spans="1:6" x14ac:dyDescent="0.25">
      <c r="A52" s="8" t="s">
        <v>8</v>
      </c>
      <c r="B52" s="18" t="s">
        <v>28</v>
      </c>
      <c r="C52" s="42">
        <v>80</v>
      </c>
      <c r="D52" s="42">
        <v>4</v>
      </c>
      <c r="E52" s="42">
        <v>291</v>
      </c>
      <c r="F52" s="31">
        <f t="shared" si="7"/>
        <v>0.28865979381443296</v>
      </c>
    </row>
    <row r="53" spans="1:6" x14ac:dyDescent="0.25">
      <c r="A53" s="8" t="s">
        <v>8</v>
      </c>
      <c r="B53" s="18" t="s">
        <v>29</v>
      </c>
      <c r="C53" s="42">
        <v>92</v>
      </c>
      <c r="D53" s="42">
        <v>7</v>
      </c>
      <c r="E53" s="42">
        <v>495</v>
      </c>
      <c r="F53" s="31">
        <f t="shared" si="7"/>
        <v>0.2</v>
      </c>
    </row>
    <row r="54" spans="1:6" x14ac:dyDescent="0.25">
      <c r="A54" s="8" t="s">
        <v>8</v>
      </c>
      <c r="B54" s="18" t="s">
        <v>222</v>
      </c>
      <c r="C54" s="44">
        <f>E54*0.6472</f>
        <v>240.75839999999999</v>
      </c>
      <c r="D54" s="42">
        <v>0</v>
      </c>
      <c r="E54" s="42">
        <v>372</v>
      </c>
      <c r="F54" s="31">
        <v>0.6472</v>
      </c>
    </row>
    <row r="55" spans="1:6" x14ac:dyDescent="0.25">
      <c r="A55" s="8" t="s">
        <v>8</v>
      </c>
      <c r="B55" s="18" t="s">
        <v>30</v>
      </c>
      <c r="C55" s="42">
        <v>95</v>
      </c>
      <c r="D55" s="42">
        <v>9</v>
      </c>
      <c r="E55" s="42">
        <v>270</v>
      </c>
      <c r="F55" s="31">
        <f t="shared" si="7"/>
        <v>0.38518518518518519</v>
      </c>
    </row>
    <row r="56" spans="1:6" x14ac:dyDescent="0.25">
      <c r="A56" s="8" t="s">
        <v>8</v>
      </c>
      <c r="B56" s="18" t="s">
        <v>223</v>
      </c>
      <c r="C56" s="44">
        <f>E56*0.7179</f>
        <v>235.47119999999998</v>
      </c>
      <c r="D56" s="42">
        <v>0</v>
      </c>
      <c r="E56" s="42">
        <v>328</v>
      </c>
      <c r="F56" s="31">
        <v>0.71789999999999998</v>
      </c>
    </row>
    <row r="57" spans="1:6" x14ac:dyDescent="0.25">
      <c r="A57" s="8" t="s">
        <v>8</v>
      </c>
      <c r="B57" s="18" t="s">
        <v>31</v>
      </c>
      <c r="C57" s="42">
        <v>201</v>
      </c>
      <c r="D57" s="42">
        <v>13</v>
      </c>
      <c r="E57" s="42">
        <v>787</v>
      </c>
      <c r="F57" s="31">
        <f t="shared" si="7"/>
        <v>0.27191867852604829</v>
      </c>
    </row>
    <row r="58" spans="1:6" x14ac:dyDescent="0.25">
      <c r="A58" s="8" t="s">
        <v>8</v>
      </c>
      <c r="B58" s="18" t="s">
        <v>32</v>
      </c>
      <c r="C58" s="42">
        <v>76</v>
      </c>
      <c r="D58" s="42">
        <v>9</v>
      </c>
      <c r="E58" s="42">
        <v>566</v>
      </c>
      <c r="F58" s="31">
        <f t="shared" si="7"/>
        <v>0.15017667844522969</v>
      </c>
    </row>
    <row r="59" spans="1:6" x14ac:dyDescent="0.25">
      <c r="A59" s="8" t="s">
        <v>8</v>
      </c>
      <c r="B59" s="18" t="s">
        <v>224</v>
      </c>
      <c r="C59" s="44">
        <f>E59*1</f>
        <v>311</v>
      </c>
      <c r="D59" s="42">
        <v>0</v>
      </c>
      <c r="E59" s="42">
        <v>311</v>
      </c>
      <c r="F59" s="45">
        <v>1</v>
      </c>
    </row>
    <row r="60" spans="1:6" x14ac:dyDescent="0.25">
      <c r="A60" s="8" t="s">
        <v>8</v>
      </c>
      <c r="B60" s="18" t="s">
        <v>226</v>
      </c>
      <c r="C60" s="44">
        <f>E60*1</f>
        <v>466</v>
      </c>
      <c r="D60" s="42">
        <v>0</v>
      </c>
      <c r="E60" s="42">
        <v>466</v>
      </c>
      <c r="F60" s="45">
        <v>1</v>
      </c>
    </row>
    <row r="61" spans="1:6" x14ac:dyDescent="0.25">
      <c r="A61" s="8" t="s">
        <v>8</v>
      </c>
      <c r="B61" s="18" t="s">
        <v>355</v>
      </c>
      <c r="C61" s="44">
        <f>E61*0.7756</f>
        <v>706.57159999999999</v>
      </c>
      <c r="D61" s="42">
        <v>0</v>
      </c>
      <c r="E61" s="48">
        <v>911</v>
      </c>
      <c r="F61" s="31">
        <v>0.77559999999999996</v>
      </c>
    </row>
    <row r="62" spans="1:6" x14ac:dyDescent="0.25">
      <c r="A62" s="8" t="s">
        <v>8</v>
      </c>
      <c r="B62" s="18" t="s">
        <v>225</v>
      </c>
      <c r="C62" s="44">
        <f>E62*1</f>
        <v>394</v>
      </c>
      <c r="D62" s="42">
        <v>0</v>
      </c>
      <c r="E62" s="42">
        <v>394</v>
      </c>
      <c r="F62" s="45">
        <v>1</v>
      </c>
    </row>
    <row r="63" spans="1:6" x14ac:dyDescent="0.25">
      <c r="A63" s="8" t="s">
        <v>8</v>
      </c>
      <c r="B63" s="18" t="s">
        <v>34</v>
      </c>
      <c r="C63" s="42">
        <v>94</v>
      </c>
      <c r="D63" s="42">
        <v>17</v>
      </c>
      <c r="E63" s="42">
        <v>580</v>
      </c>
      <c r="F63" s="31">
        <f t="shared" ref="F63" si="8">(C63+D63)/E63</f>
        <v>0.19137931034482758</v>
      </c>
    </row>
    <row r="64" spans="1:6" x14ac:dyDescent="0.25">
      <c r="A64" s="8" t="s">
        <v>8</v>
      </c>
      <c r="B64" s="18" t="s">
        <v>227</v>
      </c>
      <c r="C64" s="44">
        <f>E64*0.732</f>
        <v>201.29999999999998</v>
      </c>
      <c r="D64" s="42">
        <v>0</v>
      </c>
      <c r="E64" s="42">
        <v>275</v>
      </c>
      <c r="F64" s="31">
        <v>0.73199999999999998</v>
      </c>
    </row>
    <row r="65" spans="1:6" x14ac:dyDescent="0.25">
      <c r="A65" s="8" t="s">
        <v>8</v>
      </c>
      <c r="B65" s="18" t="s">
        <v>228</v>
      </c>
      <c r="C65" s="44">
        <f>E65*0.5731</f>
        <v>111.18140000000001</v>
      </c>
      <c r="D65" s="42">
        <v>0</v>
      </c>
      <c r="E65" s="42">
        <v>194</v>
      </c>
      <c r="F65" s="31">
        <v>0.57310000000000005</v>
      </c>
    </row>
    <row r="66" spans="1:6" x14ac:dyDescent="0.25">
      <c r="A66" s="8" t="s">
        <v>8</v>
      </c>
      <c r="B66" s="18" t="s">
        <v>36</v>
      </c>
      <c r="C66" s="42">
        <v>21</v>
      </c>
      <c r="D66" s="42">
        <v>2</v>
      </c>
      <c r="E66" s="42">
        <v>328</v>
      </c>
      <c r="F66" s="31">
        <f t="shared" ref="F66:F89" si="9">(C66+D66)/E66</f>
        <v>7.0121951219512202E-2</v>
      </c>
    </row>
    <row r="67" spans="1:6" x14ac:dyDescent="0.25">
      <c r="A67" s="8" t="s">
        <v>8</v>
      </c>
      <c r="B67" s="18" t="s">
        <v>35</v>
      </c>
      <c r="C67" s="42">
        <v>101</v>
      </c>
      <c r="D67" s="42">
        <v>7</v>
      </c>
      <c r="E67" s="42">
        <v>405</v>
      </c>
      <c r="F67" s="31">
        <f t="shared" si="9"/>
        <v>0.26666666666666666</v>
      </c>
    </row>
    <row r="68" spans="1:6" x14ac:dyDescent="0.25">
      <c r="A68" s="8" t="s">
        <v>8</v>
      </c>
      <c r="B68" s="18" t="s">
        <v>37</v>
      </c>
      <c r="C68" s="42">
        <v>16</v>
      </c>
      <c r="D68" s="42">
        <v>10</v>
      </c>
      <c r="E68" s="42">
        <v>258</v>
      </c>
      <c r="F68" s="31">
        <f t="shared" si="9"/>
        <v>0.10077519379844961</v>
      </c>
    </row>
    <row r="69" spans="1:6" x14ac:dyDescent="0.25">
      <c r="A69" s="8" t="s">
        <v>8</v>
      </c>
      <c r="B69" s="18" t="s">
        <v>38</v>
      </c>
      <c r="C69" s="42">
        <v>94</v>
      </c>
      <c r="D69" s="42">
        <v>4</v>
      </c>
      <c r="E69" s="42">
        <v>486</v>
      </c>
      <c r="F69" s="31">
        <f t="shared" si="9"/>
        <v>0.20164609053497942</v>
      </c>
    </row>
    <row r="70" spans="1:6" x14ac:dyDescent="0.25">
      <c r="A70" s="8" t="s">
        <v>8</v>
      </c>
      <c r="B70" s="18" t="s">
        <v>229</v>
      </c>
      <c r="C70" s="44">
        <f>E70*0.8</f>
        <v>279.2</v>
      </c>
      <c r="D70" s="42">
        <v>0</v>
      </c>
      <c r="E70" s="42">
        <v>349</v>
      </c>
      <c r="F70" s="31">
        <v>0.8</v>
      </c>
    </row>
    <row r="71" spans="1:6" x14ac:dyDescent="0.25">
      <c r="A71" s="8" t="s">
        <v>8</v>
      </c>
      <c r="B71" s="18" t="s">
        <v>39</v>
      </c>
      <c r="C71" s="42">
        <v>48</v>
      </c>
      <c r="D71" s="42">
        <v>1</v>
      </c>
      <c r="E71" s="42">
        <v>421</v>
      </c>
      <c r="F71" s="31">
        <f t="shared" si="9"/>
        <v>0.1163895486935867</v>
      </c>
    </row>
    <row r="72" spans="1:6" x14ac:dyDescent="0.25">
      <c r="A72" s="8" t="s">
        <v>8</v>
      </c>
      <c r="B72" s="18" t="s">
        <v>40</v>
      </c>
      <c r="C72" s="42">
        <v>21</v>
      </c>
      <c r="D72" s="42">
        <v>7</v>
      </c>
      <c r="E72" s="42">
        <v>449</v>
      </c>
      <c r="F72" s="31">
        <f t="shared" si="9"/>
        <v>6.2360801781737196E-2</v>
      </c>
    </row>
    <row r="73" spans="1:6" x14ac:dyDescent="0.25">
      <c r="A73" s="8" t="s">
        <v>8</v>
      </c>
      <c r="B73" s="18" t="s">
        <v>41</v>
      </c>
      <c r="C73" s="42">
        <v>72</v>
      </c>
      <c r="D73" s="42">
        <v>11</v>
      </c>
      <c r="E73" s="42">
        <v>414</v>
      </c>
      <c r="F73" s="31">
        <f t="shared" si="9"/>
        <v>0.20048309178743962</v>
      </c>
    </row>
    <row r="74" spans="1:6" x14ac:dyDescent="0.25">
      <c r="A74" s="8" t="s">
        <v>8</v>
      </c>
      <c r="B74" s="18" t="s">
        <v>42</v>
      </c>
      <c r="C74" s="42">
        <v>227</v>
      </c>
      <c r="D74" s="42">
        <v>8</v>
      </c>
      <c r="E74" s="42">
        <v>760</v>
      </c>
      <c r="F74" s="31">
        <f t="shared" si="9"/>
        <v>0.30921052631578949</v>
      </c>
    </row>
    <row r="75" spans="1:6" x14ac:dyDescent="0.25">
      <c r="A75" s="8" t="s">
        <v>8</v>
      </c>
      <c r="B75" s="18" t="s">
        <v>230</v>
      </c>
      <c r="C75" s="44">
        <f>E75*0.8408</f>
        <v>235.42400000000001</v>
      </c>
      <c r="D75" s="42">
        <v>0</v>
      </c>
      <c r="E75" s="42">
        <v>280</v>
      </c>
      <c r="F75" s="31">
        <v>0.84079999999999999</v>
      </c>
    </row>
    <row r="76" spans="1:6" x14ac:dyDescent="0.25">
      <c r="A76" s="8" t="s">
        <v>8</v>
      </c>
      <c r="B76" s="18" t="s">
        <v>43</v>
      </c>
      <c r="C76" s="42">
        <v>91</v>
      </c>
      <c r="D76" s="42">
        <v>13</v>
      </c>
      <c r="E76" s="42">
        <v>543</v>
      </c>
      <c r="F76" s="31">
        <f t="shared" si="9"/>
        <v>0.19152854511970535</v>
      </c>
    </row>
    <row r="77" spans="1:6" x14ac:dyDescent="0.25">
      <c r="A77" s="8" t="s">
        <v>8</v>
      </c>
      <c r="B77" s="18" t="s">
        <v>330</v>
      </c>
      <c r="C77" s="44">
        <v>100</v>
      </c>
      <c r="D77" s="42">
        <v>12</v>
      </c>
      <c r="E77" s="42">
        <v>407</v>
      </c>
      <c r="F77" s="31">
        <f t="shared" si="9"/>
        <v>0.27518427518427518</v>
      </c>
    </row>
    <row r="78" spans="1:6" x14ac:dyDescent="0.25">
      <c r="A78" s="8" t="s">
        <v>8</v>
      </c>
      <c r="B78" s="18" t="s">
        <v>44</v>
      </c>
      <c r="C78" s="42">
        <v>320</v>
      </c>
      <c r="D78" s="42">
        <v>19</v>
      </c>
      <c r="E78" s="48">
        <v>1525</v>
      </c>
      <c r="F78" s="31">
        <f t="shared" si="9"/>
        <v>0.22229508196721312</v>
      </c>
    </row>
    <row r="79" spans="1:6" x14ac:dyDescent="0.25">
      <c r="A79" s="8" t="s">
        <v>8</v>
      </c>
      <c r="B79" s="18" t="s">
        <v>45</v>
      </c>
      <c r="C79" s="42">
        <v>135</v>
      </c>
      <c r="D79" s="42">
        <v>9</v>
      </c>
      <c r="E79" s="48">
        <v>1309</v>
      </c>
      <c r="F79" s="31">
        <f t="shared" si="9"/>
        <v>0.11000763941940413</v>
      </c>
    </row>
    <row r="80" spans="1:6" x14ac:dyDescent="0.25">
      <c r="A80" s="8" t="s">
        <v>8</v>
      </c>
      <c r="B80" s="18" t="s">
        <v>266</v>
      </c>
      <c r="C80" s="44">
        <f>E80*0.8</f>
        <v>273.60000000000002</v>
      </c>
      <c r="D80" s="42">
        <v>0</v>
      </c>
      <c r="E80" s="42">
        <v>342</v>
      </c>
      <c r="F80" s="31">
        <v>0.8</v>
      </c>
    </row>
    <row r="81" spans="1:6" x14ac:dyDescent="0.25">
      <c r="A81" s="8" t="s">
        <v>8</v>
      </c>
      <c r="B81" s="18" t="s">
        <v>322</v>
      </c>
      <c r="C81" s="44">
        <v>139</v>
      </c>
      <c r="D81" s="42">
        <v>9</v>
      </c>
      <c r="E81" s="42">
        <v>403</v>
      </c>
      <c r="F81" s="31">
        <f t="shared" si="9"/>
        <v>0.36724565756823824</v>
      </c>
    </row>
    <row r="82" spans="1:6" x14ac:dyDescent="0.25">
      <c r="A82" s="8" t="s">
        <v>8</v>
      </c>
      <c r="B82" s="18" t="s">
        <v>231</v>
      </c>
      <c r="C82" s="44">
        <f>E82*0.6596</f>
        <v>193.92239999999998</v>
      </c>
      <c r="D82" s="42">
        <v>0</v>
      </c>
      <c r="E82" s="42">
        <v>294</v>
      </c>
      <c r="F82" s="31">
        <v>0.65959999999999996</v>
      </c>
    </row>
    <row r="83" spans="1:6" x14ac:dyDescent="0.25">
      <c r="A83" s="8" t="s">
        <v>8</v>
      </c>
      <c r="B83" s="18" t="s">
        <v>46</v>
      </c>
      <c r="C83" s="42">
        <v>71</v>
      </c>
      <c r="D83" s="42">
        <v>6</v>
      </c>
      <c r="E83" s="42">
        <v>400</v>
      </c>
      <c r="F83" s="31">
        <f t="shared" si="9"/>
        <v>0.1925</v>
      </c>
    </row>
    <row r="84" spans="1:6" x14ac:dyDescent="0.25">
      <c r="A84" s="8" t="s">
        <v>8</v>
      </c>
      <c r="B84" s="18" t="s">
        <v>323</v>
      </c>
      <c r="C84" s="44">
        <v>97</v>
      </c>
      <c r="D84" s="42">
        <v>3</v>
      </c>
      <c r="E84" s="42">
        <v>359</v>
      </c>
      <c r="F84" s="31">
        <f t="shared" si="9"/>
        <v>0.2785515320334262</v>
      </c>
    </row>
    <row r="85" spans="1:6" x14ac:dyDescent="0.25">
      <c r="A85" s="8" t="s">
        <v>8</v>
      </c>
      <c r="B85" s="18" t="s">
        <v>47</v>
      </c>
      <c r="C85" s="42">
        <v>114</v>
      </c>
      <c r="D85" s="42">
        <v>4</v>
      </c>
      <c r="E85" s="42">
        <v>354</v>
      </c>
      <c r="F85" s="31">
        <f t="shared" si="9"/>
        <v>0.33333333333333331</v>
      </c>
    </row>
    <row r="86" spans="1:6" x14ac:dyDescent="0.25">
      <c r="A86" s="8" t="s">
        <v>8</v>
      </c>
      <c r="B86" s="18" t="s">
        <v>48</v>
      </c>
      <c r="C86" s="42">
        <v>24</v>
      </c>
      <c r="D86" s="42">
        <v>7</v>
      </c>
      <c r="E86" s="42">
        <v>404</v>
      </c>
      <c r="F86" s="31">
        <f t="shared" si="9"/>
        <v>7.6732673267326731E-2</v>
      </c>
    </row>
    <row r="87" spans="1:6" x14ac:dyDescent="0.25">
      <c r="A87" s="8" t="s">
        <v>8</v>
      </c>
      <c r="B87" s="18" t="s">
        <v>356</v>
      </c>
      <c r="C87" s="42">
        <v>0</v>
      </c>
      <c r="D87" s="42">
        <v>0</v>
      </c>
      <c r="E87" s="42">
        <v>0</v>
      </c>
      <c r="F87" s="31">
        <v>0</v>
      </c>
    </row>
    <row r="88" spans="1:6" x14ac:dyDescent="0.25">
      <c r="A88" s="8" t="s">
        <v>8</v>
      </c>
      <c r="B88" s="18" t="s">
        <v>232</v>
      </c>
      <c r="C88" s="44">
        <f>E88*0.6492</f>
        <v>293.4384</v>
      </c>
      <c r="D88" s="42">
        <v>0</v>
      </c>
      <c r="E88" s="42">
        <v>452</v>
      </c>
      <c r="F88" s="31">
        <v>0.6492</v>
      </c>
    </row>
    <row r="89" spans="1:6" x14ac:dyDescent="0.25">
      <c r="A89" s="8" t="s">
        <v>8</v>
      </c>
      <c r="B89" s="18" t="s">
        <v>49</v>
      </c>
      <c r="C89" s="42">
        <v>557</v>
      </c>
      <c r="D89" s="42">
        <v>30</v>
      </c>
      <c r="E89" s="48">
        <v>1805</v>
      </c>
      <c r="F89" s="31">
        <f t="shared" si="9"/>
        <v>0.325207756232687</v>
      </c>
    </row>
    <row r="90" spans="1:6" x14ac:dyDescent="0.25">
      <c r="A90" s="8" t="s">
        <v>8</v>
      </c>
      <c r="B90" s="18" t="s">
        <v>233</v>
      </c>
      <c r="C90" s="44">
        <f>E90*0.86</f>
        <v>67.94</v>
      </c>
      <c r="D90" s="42">
        <v>0</v>
      </c>
      <c r="E90" s="50">
        <v>79</v>
      </c>
      <c r="F90" s="31">
        <v>0.86</v>
      </c>
    </row>
    <row r="91" spans="1:6" x14ac:dyDescent="0.25">
      <c r="A91" s="8" t="s">
        <v>8</v>
      </c>
      <c r="B91" s="18" t="s">
        <v>234</v>
      </c>
      <c r="C91" s="44">
        <f>E91*1</f>
        <v>353</v>
      </c>
      <c r="D91" s="42">
        <v>0</v>
      </c>
      <c r="E91" s="42">
        <v>353</v>
      </c>
      <c r="F91" s="45">
        <v>1</v>
      </c>
    </row>
    <row r="92" spans="1:6" x14ac:dyDescent="0.25">
      <c r="A92" s="8" t="s">
        <v>8</v>
      </c>
      <c r="B92" s="18" t="s">
        <v>235</v>
      </c>
      <c r="C92" s="44">
        <f>E92*0.911</f>
        <v>327.96000000000004</v>
      </c>
      <c r="D92" s="42">
        <v>0</v>
      </c>
      <c r="E92" s="42">
        <v>360</v>
      </c>
      <c r="F92" s="31">
        <v>0.90110000000000001</v>
      </c>
    </row>
    <row r="93" spans="1:6" x14ac:dyDescent="0.25">
      <c r="A93" s="8" t="s">
        <v>8</v>
      </c>
      <c r="B93" s="18" t="s">
        <v>236</v>
      </c>
      <c r="C93" s="44">
        <f>E93*0.9185</f>
        <v>345.35599999999999</v>
      </c>
      <c r="D93" s="42">
        <v>0</v>
      </c>
      <c r="E93" s="42">
        <v>376</v>
      </c>
      <c r="F93" s="31">
        <v>0.91849999999999998</v>
      </c>
    </row>
    <row r="94" spans="1:6" x14ac:dyDescent="0.25">
      <c r="A94" s="8" t="s">
        <v>8</v>
      </c>
      <c r="B94" s="18" t="s">
        <v>237</v>
      </c>
      <c r="C94" s="44">
        <f>E94*1</f>
        <v>276</v>
      </c>
      <c r="D94" s="42">
        <v>0</v>
      </c>
      <c r="E94" s="42">
        <v>276</v>
      </c>
      <c r="F94" s="45">
        <v>1</v>
      </c>
    </row>
    <row r="95" spans="1:6" x14ac:dyDescent="0.25">
      <c r="A95" s="6" t="s">
        <v>357</v>
      </c>
      <c r="B95" s="38"/>
      <c r="C95" s="7">
        <f>SUM(C96:C98)</f>
        <v>285.39239999999995</v>
      </c>
      <c r="D95" s="7">
        <f t="shared" ref="D95:E95" si="10">SUM(D96:D98)</f>
        <v>0</v>
      </c>
      <c r="E95" s="7">
        <f t="shared" si="10"/>
        <v>321</v>
      </c>
      <c r="F95" s="51">
        <f>(C95+D95)/E95</f>
        <v>0.88907289719626148</v>
      </c>
    </row>
    <row r="96" spans="1:6" x14ac:dyDescent="0.25">
      <c r="A96" s="8" t="s">
        <v>50</v>
      </c>
      <c r="B96" s="8" t="s">
        <v>503</v>
      </c>
      <c r="C96" s="12">
        <f>E96*0.93</f>
        <v>72.540000000000006</v>
      </c>
      <c r="D96" s="12">
        <v>0</v>
      </c>
      <c r="E96" s="12">
        <v>78</v>
      </c>
      <c r="F96" s="32">
        <v>0.93</v>
      </c>
    </row>
    <row r="97" spans="1:6" x14ac:dyDescent="0.25">
      <c r="A97" s="8" t="s">
        <v>50</v>
      </c>
      <c r="B97" s="8" t="s">
        <v>504</v>
      </c>
      <c r="C97" s="12">
        <f>E97*0.7668</f>
        <v>66.711600000000004</v>
      </c>
      <c r="D97" s="12">
        <v>0</v>
      </c>
      <c r="E97" s="12">
        <v>87</v>
      </c>
      <c r="F97" s="32">
        <v>0.76680000000000004</v>
      </c>
    </row>
    <row r="98" spans="1:6" x14ac:dyDescent="0.25">
      <c r="A98" s="8" t="s">
        <v>50</v>
      </c>
      <c r="B98" s="8" t="s">
        <v>505</v>
      </c>
      <c r="C98" s="12">
        <f>E98*0.9368</f>
        <v>146.14079999999998</v>
      </c>
      <c r="D98" s="12">
        <v>0</v>
      </c>
      <c r="E98" s="12">
        <v>156</v>
      </c>
      <c r="F98" s="32">
        <v>0.93679999999999997</v>
      </c>
    </row>
    <row r="99" spans="1:6" x14ac:dyDescent="0.25">
      <c r="A99" s="6" t="s">
        <v>358</v>
      </c>
      <c r="B99" s="38"/>
      <c r="C99" s="7">
        <f>SUM(C100:C114)</f>
        <v>1819.2434000000001</v>
      </c>
      <c r="D99" s="7">
        <f>SUM(D100:D114)</f>
        <v>0</v>
      </c>
      <c r="E99" s="7">
        <f>SUM(E100:E114)</f>
        <v>1883</v>
      </c>
      <c r="F99" s="41">
        <f>(C99+D99)/E99</f>
        <v>0.96614094530005312</v>
      </c>
    </row>
    <row r="100" spans="1:6" x14ac:dyDescent="0.25">
      <c r="A100" s="8" t="s">
        <v>51</v>
      </c>
      <c r="B100" s="8" t="s">
        <v>267</v>
      </c>
      <c r="C100" s="44">
        <f>E100*1</f>
        <v>118</v>
      </c>
      <c r="D100" s="12">
        <v>0</v>
      </c>
      <c r="E100" s="12">
        <v>118</v>
      </c>
      <c r="F100" s="43">
        <v>1</v>
      </c>
    </row>
    <row r="101" spans="1:6" x14ac:dyDescent="0.25">
      <c r="A101" s="8" t="s">
        <v>51</v>
      </c>
      <c r="B101" s="8" t="s">
        <v>268</v>
      </c>
      <c r="C101" s="44">
        <f t="shared" ref="C101:C114" si="11">E101*1</f>
        <v>150</v>
      </c>
      <c r="D101" s="12">
        <v>0</v>
      </c>
      <c r="E101" s="12">
        <v>150</v>
      </c>
      <c r="F101" s="43">
        <v>1</v>
      </c>
    </row>
    <row r="102" spans="1:6" x14ac:dyDescent="0.25">
      <c r="A102" s="8" t="s">
        <v>51</v>
      </c>
      <c r="B102" s="8" t="s">
        <v>269</v>
      </c>
      <c r="C102" s="44">
        <f t="shared" si="11"/>
        <v>155</v>
      </c>
      <c r="D102" s="12">
        <v>0</v>
      </c>
      <c r="E102" s="12">
        <v>155</v>
      </c>
      <c r="F102" s="43">
        <v>1</v>
      </c>
    </row>
    <row r="103" spans="1:6" x14ac:dyDescent="0.25">
      <c r="A103" s="8" t="s">
        <v>51</v>
      </c>
      <c r="B103" s="8" t="s">
        <v>270</v>
      </c>
      <c r="C103" s="44">
        <f t="shared" si="11"/>
        <v>31</v>
      </c>
      <c r="D103" s="12">
        <v>0</v>
      </c>
      <c r="E103" s="12">
        <v>31</v>
      </c>
      <c r="F103" s="43">
        <v>1</v>
      </c>
    </row>
    <row r="104" spans="1:6" x14ac:dyDescent="0.25">
      <c r="A104" s="8" t="s">
        <v>51</v>
      </c>
      <c r="B104" s="8" t="s">
        <v>271</v>
      </c>
      <c r="C104" s="44">
        <f t="shared" si="11"/>
        <v>172</v>
      </c>
      <c r="D104" s="12">
        <v>0</v>
      </c>
      <c r="E104" s="12">
        <v>172</v>
      </c>
      <c r="F104" s="43">
        <v>1</v>
      </c>
    </row>
    <row r="105" spans="1:6" x14ac:dyDescent="0.25">
      <c r="A105" s="8" t="s">
        <v>51</v>
      </c>
      <c r="B105" s="8" t="s">
        <v>272</v>
      </c>
      <c r="C105" s="44">
        <f t="shared" si="11"/>
        <v>243</v>
      </c>
      <c r="D105" s="12">
        <v>0</v>
      </c>
      <c r="E105" s="12">
        <v>243</v>
      </c>
      <c r="F105" s="43">
        <v>1</v>
      </c>
    </row>
    <row r="106" spans="1:6" x14ac:dyDescent="0.25">
      <c r="A106" s="8" t="s">
        <v>51</v>
      </c>
      <c r="B106" s="8" t="s">
        <v>273</v>
      </c>
      <c r="C106" s="44">
        <f t="shared" si="11"/>
        <v>80</v>
      </c>
      <c r="D106" s="12">
        <v>0</v>
      </c>
      <c r="E106" s="12">
        <v>80</v>
      </c>
      <c r="F106" s="43">
        <v>1</v>
      </c>
    </row>
    <row r="107" spans="1:6" x14ac:dyDescent="0.25">
      <c r="A107" s="8" t="s">
        <v>51</v>
      </c>
      <c r="B107" s="8" t="s">
        <v>274</v>
      </c>
      <c r="C107" s="44">
        <f t="shared" si="11"/>
        <v>92</v>
      </c>
      <c r="D107" s="12">
        <v>0</v>
      </c>
      <c r="E107" s="12">
        <v>92</v>
      </c>
      <c r="F107" s="43">
        <v>1</v>
      </c>
    </row>
    <row r="108" spans="1:6" x14ac:dyDescent="0.25">
      <c r="A108" s="8" t="s">
        <v>51</v>
      </c>
      <c r="B108" s="8" t="s">
        <v>275</v>
      </c>
      <c r="C108" s="44">
        <f>E108*0.8694</f>
        <v>44.339399999999998</v>
      </c>
      <c r="D108" s="12">
        <v>0</v>
      </c>
      <c r="E108" s="12">
        <v>51</v>
      </c>
      <c r="F108" s="32">
        <v>0.86939999999999995</v>
      </c>
    </row>
    <row r="109" spans="1:6" x14ac:dyDescent="0.25">
      <c r="A109" s="8" t="s">
        <v>51</v>
      </c>
      <c r="B109" s="8" t="s">
        <v>276</v>
      </c>
      <c r="C109" s="44">
        <f t="shared" si="11"/>
        <v>73</v>
      </c>
      <c r="D109" s="12">
        <v>0</v>
      </c>
      <c r="E109" s="12">
        <v>73</v>
      </c>
      <c r="F109" s="43">
        <v>1</v>
      </c>
    </row>
    <row r="110" spans="1:6" x14ac:dyDescent="0.25">
      <c r="A110" s="8" t="s">
        <v>51</v>
      </c>
      <c r="B110" s="8" t="s">
        <v>277</v>
      </c>
      <c r="C110" s="44">
        <f t="shared" si="11"/>
        <v>197</v>
      </c>
      <c r="D110" s="12">
        <v>0</v>
      </c>
      <c r="E110" s="12">
        <v>197</v>
      </c>
      <c r="F110" s="43">
        <v>1</v>
      </c>
    </row>
    <row r="111" spans="1:6" x14ac:dyDescent="0.25">
      <c r="A111" s="8" t="s">
        <v>51</v>
      </c>
      <c r="B111" s="8" t="s">
        <v>278</v>
      </c>
      <c r="C111" s="44">
        <f t="shared" si="11"/>
        <v>232</v>
      </c>
      <c r="D111" s="12">
        <v>0</v>
      </c>
      <c r="E111" s="12">
        <v>232</v>
      </c>
      <c r="F111" s="43">
        <v>1</v>
      </c>
    </row>
    <row r="112" spans="1:6" x14ac:dyDescent="0.25">
      <c r="A112" s="8" t="s">
        <v>51</v>
      </c>
      <c r="B112" s="8" t="s">
        <v>279</v>
      </c>
      <c r="C112" s="44">
        <f>E112*0.688</f>
        <v>125.904</v>
      </c>
      <c r="D112" s="12">
        <v>0</v>
      </c>
      <c r="E112" s="12">
        <v>183</v>
      </c>
      <c r="F112" s="32">
        <v>0.68799999999999994</v>
      </c>
    </row>
    <row r="113" spans="1:9" x14ac:dyDescent="0.25">
      <c r="A113" s="8" t="s">
        <v>51</v>
      </c>
      <c r="B113" s="8" t="s">
        <v>280</v>
      </c>
      <c r="C113" s="44">
        <f t="shared" si="11"/>
        <v>40</v>
      </c>
      <c r="D113" s="12">
        <v>0</v>
      </c>
      <c r="E113" s="12">
        <v>40</v>
      </c>
      <c r="F113" s="43">
        <v>1</v>
      </c>
    </row>
    <row r="114" spans="1:9" x14ac:dyDescent="0.25">
      <c r="A114" s="8" t="s">
        <v>51</v>
      </c>
      <c r="B114" s="8" t="s">
        <v>281</v>
      </c>
      <c r="C114" s="44">
        <f t="shared" si="11"/>
        <v>66</v>
      </c>
      <c r="D114" s="12">
        <v>0</v>
      </c>
      <c r="E114" s="12">
        <v>66</v>
      </c>
      <c r="F114" s="43">
        <v>1</v>
      </c>
    </row>
    <row r="115" spans="1:9" x14ac:dyDescent="0.25">
      <c r="A115" s="6" t="s">
        <v>359</v>
      </c>
      <c r="B115" s="38"/>
      <c r="C115" s="13">
        <f>SUM(C116:C117)</f>
        <v>99.197400000000002</v>
      </c>
      <c r="D115" s="13">
        <f>SUM(D116:D117)</f>
        <v>0</v>
      </c>
      <c r="E115" s="13">
        <f>SUM(E116:E117)</f>
        <v>105</v>
      </c>
      <c r="F115" s="41">
        <f>(C115+D115)/E115</f>
        <v>0.94473714285714283</v>
      </c>
    </row>
    <row r="116" spans="1:9" x14ac:dyDescent="0.25">
      <c r="A116" s="8" t="s">
        <v>52</v>
      </c>
      <c r="B116" s="8" t="s">
        <v>360</v>
      </c>
      <c r="C116" s="44">
        <f>E116*1</f>
        <v>48</v>
      </c>
      <c r="D116" s="42">
        <v>0</v>
      </c>
      <c r="E116" s="42">
        <v>48</v>
      </c>
      <c r="F116" s="43">
        <v>1</v>
      </c>
    </row>
    <row r="117" spans="1:9" x14ac:dyDescent="0.25">
      <c r="A117" s="8" t="s">
        <v>52</v>
      </c>
      <c r="B117" s="8" t="s">
        <v>361</v>
      </c>
      <c r="C117" s="44">
        <f>E117*0.8982</f>
        <v>51.197400000000002</v>
      </c>
      <c r="D117" s="42">
        <v>0</v>
      </c>
      <c r="E117" s="42">
        <v>57</v>
      </c>
      <c r="F117" s="32">
        <v>0.8982</v>
      </c>
    </row>
    <row r="118" spans="1:9" x14ac:dyDescent="0.25">
      <c r="A118" s="6" t="s">
        <v>362</v>
      </c>
      <c r="B118" s="38"/>
      <c r="C118" s="7">
        <f>SUM(C119:C119)</f>
        <v>65</v>
      </c>
      <c r="D118" s="7">
        <f>SUM(D119:D119)</f>
        <v>0</v>
      </c>
      <c r="E118" s="7">
        <f>SUM(E119:E119)</f>
        <v>65</v>
      </c>
      <c r="F118" s="41">
        <f>(C118+D118)/E118</f>
        <v>1</v>
      </c>
    </row>
    <row r="119" spans="1:9" x14ac:dyDescent="0.25">
      <c r="A119" s="8" t="s">
        <v>53</v>
      </c>
      <c r="B119" s="8" t="s">
        <v>363</v>
      </c>
      <c r="C119" s="44">
        <f>E119*1</f>
        <v>65</v>
      </c>
      <c r="D119" s="42">
        <v>0</v>
      </c>
      <c r="E119" s="42">
        <v>65</v>
      </c>
      <c r="F119" s="43">
        <v>1</v>
      </c>
    </row>
    <row r="120" spans="1:9" s="14" customFormat="1" x14ac:dyDescent="0.25">
      <c r="A120" s="6" t="s">
        <v>364</v>
      </c>
      <c r="B120" s="38"/>
      <c r="C120" s="7">
        <f>SUM(C121:C122)</f>
        <v>114</v>
      </c>
      <c r="D120" s="7">
        <f>SUM(D121:D122)</f>
        <v>18</v>
      </c>
      <c r="E120" s="7">
        <f>SUM(E121:E122)</f>
        <v>221</v>
      </c>
      <c r="F120" s="41">
        <f t="shared" ref="F120:F123" si="12">(C120+D120)/E120</f>
        <v>0.59728506787330315</v>
      </c>
      <c r="G120" s="15"/>
      <c r="I120" s="15"/>
    </row>
    <row r="121" spans="1:9" s="14" customFormat="1" x14ac:dyDescent="0.25">
      <c r="A121" s="8" t="s">
        <v>54</v>
      </c>
      <c r="B121" s="8" t="s">
        <v>365</v>
      </c>
      <c r="C121" s="19">
        <v>61</v>
      </c>
      <c r="D121" s="19">
        <v>7</v>
      </c>
      <c r="E121" s="19">
        <v>103</v>
      </c>
      <c r="F121" s="45">
        <f>(C121+D121)/E121</f>
        <v>0.66019417475728159</v>
      </c>
      <c r="G121" s="15"/>
      <c r="I121" s="15"/>
    </row>
    <row r="122" spans="1:9" x14ac:dyDescent="0.25">
      <c r="A122" s="8" t="s">
        <v>54</v>
      </c>
      <c r="B122" s="8" t="s">
        <v>366</v>
      </c>
      <c r="C122" s="22">
        <v>53</v>
      </c>
      <c r="D122" s="22">
        <v>11</v>
      </c>
      <c r="E122" s="22">
        <v>118</v>
      </c>
      <c r="F122" s="45">
        <f>(C122+D122)/E122</f>
        <v>0.5423728813559322</v>
      </c>
    </row>
    <row r="123" spans="1:9" x14ac:dyDescent="0.25">
      <c r="A123" s="6" t="s">
        <v>367</v>
      </c>
      <c r="B123" s="38"/>
      <c r="C123" s="7">
        <f>SUM(C124:C125)</f>
        <v>227.00709999999998</v>
      </c>
      <c r="D123" s="7">
        <f>SUM(D124:D125)</f>
        <v>0</v>
      </c>
      <c r="E123" s="7">
        <f>SUM(E124:E125)</f>
        <v>311</v>
      </c>
      <c r="F123" s="41">
        <f t="shared" si="12"/>
        <v>0.72992636655948551</v>
      </c>
    </row>
    <row r="124" spans="1:9" x14ac:dyDescent="0.25">
      <c r="A124" s="8" t="s">
        <v>55</v>
      </c>
      <c r="B124" s="8" t="s">
        <v>324</v>
      </c>
      <c r="C124" s="44">
        <f>E124*0.7899</f>
        <v>104.2668</v>
      </c>
      <c r="D124" s="42">
        <v>0</v>
      </c>
      <c r="E124" s="42">
        <v>132</v>
      </c>
      <c r="F124" s="32">
        <v>0.78990000000000005</v>
      </c>
    </row>
    <row r="125" spans="1:9" x14ac:dyDescent="0.25">
      <c r="A125" s="8" t="s">
        <v>55</v>
      </c>
      <c r="B125" s="8" t="s">
        <v>325</v>
      </c>
      <c r="C125" s="44">
        <f>E125*0.6857</f>
        <v>122.74029999999999</v>
      </c>
      <c r="D125" s="42">
        <v>0</v>
      </c>
      <c r="E125" s="42">
        <v>179</v>
      </c>
      <c r="F125" s="32">
        <v>0.69569999999999999</v>
      </c>
    </row>
    <row r="126" spans="1:9" x14ac:dyDescent="0.25">
      <c r="A126" s="6" t="s">
        <v>368</v>
      </c>
      <c r="B126" s="38"/>
      <c r="C126" s="7">
        <f>SUM(C127:C128)</f>
        <v>102</v>
      </c>
      <c r="D126" s="7">
        <f>SUM(D127:D128)</f>
        <v>5</v>
      </c>
      <c r="E126" s="7">
        <f>SUM(E127:E128)</f>
        <v>225</v>
      </c>
      <c r="F126" s="41">
        <f t="shared" ref="F126:F133" si="13">(C126+D126)/E126</f>
        <v>0.47555555555555556</v>
      </c>
    </row>
    <row r="127" spans="1:9" x14ac:dyDescent="0.25">
      <c r="A127" s="8" t="s">
        <v>56</v>
      </c>
      <c r="B127" s="8" t="s">
        <v>57</v>
      </c>
      <c r="C127" s="12">
        <v>70</v>
      </c>
      <c r="D127" s="12">
        <v>5</v>
      </c>
      <c r="E127" s="12">
        <v>157</v>
      </c>
      <c r="F127" s="31">
        <f t="shared" si="13"/>
        <v>0.47770700636942676</v>
      </c>
    </row>
    <row r="128" spans="1:9" x14ac:dyDescent="0.25">
      <c r="A128" s="8" t="s">
        <v>56</v>
      </c>
      <c r="B128" s="8" t="s">
        <v>58</v>
      </c>
      <c r="C128" s="12">
        <v>32</v>
      </c>
      <c r="D128" s="12">
        <v>0</v>
      </c>
      <c r="E128" s="12">
        <v>68</v>
      </c>
      <c r="F128" s="31">
        <f t="shared" si="13"/>
        <v>0.47058823529411764</v>
      </c>
    </row>
    <row r="129" spans="1:6" x14ac:dyDescent="0.25">
      <c r="A129" s="6" t="s">
        <v>369</v>
      </c>
      <c r="B129" s="38"/>
      <c r="C129" s="7">
        <f>SUM(C130:C132)</f>
        <v>59</v>
      </c>
      <c r="D129" s="7">
        <f>SUM(D130:D132)</f>
        <v>25</v>
      </c>
      <c r="E129" s="7">
        <f>SUM(E130:E132)</f>
        <v>635</v>
      </c>
      <c r="F129" s="41">
        <f t="shared" si="13"/>
        <v>0.13228346456692913</v>
      </c>
    </row>
    <row r="130" spans="1:6" x14ac:dyDescent="0.25">
      <c r="A130" s="8" t="s">
        <v>59</v>
      </c>
      <c r="B130" s="8" t="s">
        <v>60</v>
      </c>
      <c r="C130" s="12">
        <v>26</v>
      </c>
      <c r="D130" s="12">
        <v>14</v>
      </c>
      <c r="E130" s="12">
        <v>336</v>
      </c>
      <c r="F130" s="31">
        <f t="shared" si="13"/>
        <v>0.11904761904761904</v>
      </c>
    </row>
    <row r="131" spans="1:6" x14ac:dyDescent="0.25">
      <c r="A131" s="8" t="s">
        <v>59</v>
      </c>
      <c r="B131" s="8" t="s">
        <v>318</v>
      </c>
      <c r="C131" s="12">
        <v>20</v>
      </c>
      <c r="D131" s="12">
        <v>6</v>
      </c>
      <c r="E131" s="12">
        <v>159</v>
      </c>
      <c r="F131" s="31">
        <f t="shared" si="13"/>
        <v>0.16352201257861634</v>
      </c>
    </row>
    <row r="132" spans="1:6" x14ac:dyDescent="0.25">
      <c r="A132" s="8" t="s">
        <v>59</v>
      </c>
      <c r="B132" s="8" t="s">
        <v>319</v>
      </c>
      <c r="C132" s="12">
        <v>13</v>
      </c>
      <c r="D132" s="12">
        <v>5</v>
      </c>
      <c r="E132" s="12">
        <v>140</v>
      </c>
      <c r="F132" s="31">
        <f t="shared" si="13"/>
        <v>0.12857142857142856</v>
      </c>
    </row>
    <row r="133" spans="1:6" x14ac:dyDescent="0.25">
      <c r="A133" s="6" t="s">
        <v>370</v>
      </c>
      <c r="B133" s="38"/>
      <c r="C133" s="7">
        <f>SUM(C134:C135)</f>
        <v>438</v>
      </c>
      <c r="D133" s="7">
        <f>SUM(D134:D135)</f>
        <v>0</v>
      </c>
      <c r="E133" s="7">
        <f>SUM(E134:E135)</f>
        <v>438</v>
      </c>
      <c r="F133" s="51">
        <f t="shared" si="13"/>
        <v>1</v>
      </c>
    </row>
    <row r="134" spans="1:6" x14ac:dyDescent="0.25">
      <c r="A134" s="8" t="s">
        <v>61</v>
      </c>
      <c r="B134" s="8" t="s">
        <v>371</v>
      </c>
      <c r="C134" s="44">
        <f>E134*1</f>
        <v>208</v>
      </c>
      <c r="D134" s="12">
        <v>0</v>
      </c>
      <c r="E134" s="12">
        <v>208</v>
      </c>
      <c r="F134" s="43">
        <v>1</v>
      </c>
    </row>
    <row r="135" spans="1:6" x14ac:dyDescent="0.25">
      <c r="A135" s="8" t="s">
        <v>61</v>
      </c>
      <c r="B135" s="8" t="s">
        <v>372</v>
      </c>
      <c r="C135" s="44">
        <f>E135*1</f>
        <v>230</v>
      </c>
      <c r="D135" s="12">
        <v>0</v>
      </c>
      <c r="E135" s="12">
        <v>230</v>
      </c>
      <c r="F135" s="43">
        <v>1</v>
      </c>
    </row>
    <row r="136" spans="1:6" x14ac:dyDescent="0.25">
      <c r="A136" s="6" t="s">
        <v>373</v>
      </c>
      <c r="B136" s="38"/>
      <c r="C136" s="7">
        <f>SUM(C137:C171)</f>
        <v>2361</v>
      </c>
      <c r="D136" s="7">
        <f>SUM(D137:D171)</f>
        <v>364</v>
      </c>
      <c r="E136" s="7">
        <f>SUM(E137:E171)</f>
        <v>11305</v>
      </c>
      <c r="F136" s="41">
        <f t="shared" ref="F136:F172" si="14">(C136+D136)/E136</f>
        <v>0.2410437859354268</v>
      </c>
    </row>
    <row r="137" spans="1:6" x14ac:dyDescent="0.25">
      <c r="A137" s="8" t="s">
        <v>62</v>
      </c>
      <c r="B137" s="8" t="s">
        <v>63</v>
      </c>
      <c r="C137" s="42">
        <v>12</v>
      </c>
      <c r="D137" s="42">
        <v>12</v>
      </c>
      <c r="E137" s="42">
        <v>260</v>
      </c>
      <c r="F137" s="31">
        <f t="shared" si="14"/>
        <v>9.2307692307692313E-2</v>
      </c>
    </row>
    <row r="138" spans="1:6" x14ac:dyDescent="0.25">
      <c r="A138" s="8" t="s">
        <v>62</v>
      </c>
      <c r="B138" s="8" t="s">
        <v>64</v>
      </c>
      <c r="C138" s="42">
        <v>102</v>
      </c>
      <c r="D138" s="42">
        <v>7</v>
      </c>
      <c r="E138" s="42">
        <v>315</v>
      </c>
      <c r="F138" s="31">
        <f t="shared" si="14"/>
        <v>0.34603174603174602</v>
      </c>
    </row>
    <row r="139" spans="1:6" x14ac:dyDescent="0.25">
      <c r="A139" s="8" t="s">
        <v>62</v>
      </c>
      <c r="B139" s="8" t="s">
        <v>65</v>
      </c>
      <c r="C139" s="42">
        <v>84</v>
      </c>
      <c r="D139" s="42">
        <v>26</v>
      </c>
      <c r="E139" s="42">
        <v>428</v>
      </c>
      <c r="F139" s="31">
        <f t="shared" si="14"/>
        <v>0.2570093457943925</v>
      </c>
    </row>
    <row r="140" spans="1:6" x14ac:dyDescent="0.25">
      <c r="A140" s="8" t="s">
        <v>62</v>
      </c>
      <c r="B140" s="8" t="s">
        <v>66</v>
      </c>
      <c r="C140" s="42">
        <v>64</v>
      </c>
      <c r="D140" s="42">
        <v>19</v>
      </c>
      <c r="E140" s="42">
        <v>414</v>
      </c>
      <c r="F140" s="31">
        <f t="shared" si="14"/>
        <v>0.20048309178743962</v>
      </c>
    </row>
    <row r="141" spans="1:6" x14ac:dyDescent="0.25">
      <c r="A141" s="8" t="s">
        <v>62</v>
      </c>
      <c r="B141" s="8" t="s">
        <v>67</v>
      </c>
      <c r="C141" s="42">
        <v>30</v>
      </c>
      <c r="D141" s="42">
        <v>17</v>
      </c>
      <c r="E141" s="42">
        <v>343</v>
      </c>
      <c r="F141" s="31">
        <f t="shared" si="14"/>
        <v>0.13702623906705538</v>
      </c>
    </row>
    <row r="142" spans="1:6" x14ac:dyDescent="0.25">
      <c r="A142" s="8" t="s">
        <v>62</v>
      </c>
      <c r="B142" s="8" t="s">
        <v>374</v>
      </c>
      <c r="C142" s="42">
        <v>28</v>
      </c>
      <c r="D142" s="42">
        <v>8</v>
      </c>
      <c r="E142" s="42">
        <v>202</v>
      </c>
      <c r="F142" s="31">
        <f t="shared" si="14"/>
        <v>0.17821782178217821</v>
      </c>
    </row>
    <row r="143" spans="1:6" x14ac:dyDescent="0.25">
      <c r="A143" s="8" t="s">
        <v>62</v>
      </c>
      <c r="B143" s="8" t="s">
        <v>68</v>
      </c>
      <c r="C143" s="42">
        <v>0</v>
      </c>
      <c r="D143" s="42">
        <v>0</v>
      </c>
      <c r="E143" s="42">
        <v>17</v>
      </c>
      <c r="F143" s="31">
        <f t="shared" si="14"/>
        <v>0</v>
      </c>
    </row>
    <row r="144" spans="1:6" x14ac:dyDescent="0.25">
      <c r="A144" s="8" t="s">
        <v>62</v>
      </c>
      <c r="B144" s="8" t="s">
        <v>69</v>
      </c>
      <c r="C144" s="42">
        <v>14</v>
      </c>
      <c r="D144" s="42">
        <v>17</v>
      </c>
      <c r="E144" s="42">
        <v>253</v>
      </c>
      <c r="F144" s="31">
        <f t="shared" si="14"/>
        <v>0.1225296442687747</v>
      </c>
    </row>
    <row r="145" spans="1:6" x14ac:dyDescent="0.25">
      <c r="A145" s="8" t="s">
        <v>62</v>
      </c>
      <c r="B145" s="8" t="s">
        <v>18</v>
      </c>
      <c r="C145" s="42">
        <v>99</v>
      </c>
      <c r="D145" s="42">
        <v>18</v>
      </c>
      <c r="E145" s="42">
        <v>271</v>
      </c>
      <c r="F145" s="31">
        <f t="shared" si="14"/>
        <v>0.43173431734317341</v>
      </c>
    </row>
    <row r="146" spans="1:6" x14ac:dyDescent="0.25">
      <c r="A146" s="8" t="s">
        <v>62</v>
      </c>
      <c r="B146" s="8" t="s">
        <v>331</v>
      </c>
      <c r="C146" s="42">
        <v>25</v>
      </c>
      <c r="D146" s="42">
        <v>5</v>
      </c>
      <c r="E146" s="42">
        <v>186</v>
      </c>
      <c r="F146" s="31">
        <f t="shared" si="14"/>
        <v>0.16129032258064516</v>
      </c>
    </row>
    <row r="147" spans="1:6" x14ac:dyDescent="0.25">
      <c r="A147" s="8" t="s">
        <v>62</v>
      </c>
      <c r="B147" s="8" t="s">
        <v>70</v>
      </c>
      <c r="C147" s="42">
        <v>4</v>
      </c>
      <c r="D147" s="42">
        <v>0</v>
      </c>
      <c r="E147" s="42">
        <v>4</v>
      </c>
      <c r="F147" s="31">
        <f t="shared" si="14"/>
        <v>1</v>
      </c>
    </row>
    <row r="148" spans="1:6" x14ac:dyDescent="0.25">
      <c r="A148" s="8" t="s">
        <v>62</v>
      </c>
      <c r="B148" s="8" t="s">
        <v>71</v>
      </c>
      <c r="C148" s="42">
        <v>78</v>
      </c>
      <c r="D148" s="42">
        <v>4</v>
      </c>
      <c r="E148" s="42">
        <v>145</v>
      </c>
      <c r="F148" s="31">
        <f t="shared" si="14"/>
        <v>0.56551724137931036</v>
      </c>
    </row>
    <row r="149" spans="1:6" x14ac:dyDescent="0.25">
      <c r="A149" s="8" t="s">
        <v>62</v>
      </c>
      <c r="B149" s="8" t="s">
        <v>72</v>
      </c>
      <c r="C149" s="42">
        <v>131</v>
      </c>
      <c r="D149" s="42">
        <v>7</v>
      </c>
      <c r="E149" s="42">
        <v>319</v>
      </c>
      <c r="F149" s="31">
        <f t="shared" si="14"/>
        <v>0.43260188087774293</v>
      </c>
    </row>
    <row r="150" spans="1:6" x14ac:dyDescent="0.25">
      <c r="A150" s="8" t="s">
        <v>62</v>
      </c>
      <c r="B150" s="8" t="s">
        <v>73</v>
      </c>
      <c r="C150" s="42">
        <v>53</v>
      </c>
      <c r="D150" s="42">
        <v>10</v>
      </c>
      <c r="E150" s="42">
        <v>388</v>
      </c>
      <c r="F150" s="31">
        <f t="shared" si="14"/>
        <v>0.16237113402061856</v>
      </c>
    </row>
    <row r="151" spans="1:6" x14ac:dyDescent="0.25">
      <c r="A151" s="8" t="s">
        <v>62</v>
      </c>
      <c r="B151" s="8" t="s">
        <v>74</v>
      </c>
      <c r="C151" s="42">
        <v>109</v>
      </c>
      <c r="D151" s="42">
        <v>8</v>
      </c>
      <c r="E151" s="42">
        <v>324</v>
      </c>
      <c r="F151" s="31">
        <f t="shared" si="14"/>
        <v>0.3611111111111111</v>
      </c>
    </row>
    <row r="152" spans="1:6" x14ac:dyDescent="0.25">
      <c r="A152" s="8" t="s">
        <v>62</v>
      </c>
      <c r="B152" s="8" t="s">
        <v>75</v>
      </c>
      <c r="C152" s="42">
        <v>56</v>
      </c>
      <c r="D152" s="42">
        <v>16</v>
      </c>
      <c r="E152" s="42">
        <v>381</v>
      </c>
      <c r="F152" s="31">
        <f t="shared" si="14"/>
        <v>0.1889763779527559</v>
      </c>
    </row>
    <row r="153" spans="1:6" x14ac:dyDescent="0.25">
      <c r="A153" s="8" t="s">
        <v>62</v>
      </c>
      <c r="B153" s="8" t="s">
        <v>76</v>
      </c>
      <c r="C153" s="42">
        <v>188</v>
      </c>
      <c r="D153" s="42">
        <v>20</v>
      </c>
      <c r="E153" s="48">
        <v>831</v>
      </c>
      <c r="F153" s="31">
        <f t="shared" si="14"/>
        <v>0.25030084235860411</v>
      </c>
    </row>
    <row r="154" spans="1:6" x14ac:dyDescent="0.25">
      <c r="A154" s="8" t="s">
        <v>62</v>
      </c>
      <c r="B154" s="8" t="s">
        <v>306</v>
      </c>
      <c r="C154" s="42">
        <v>59</v>
      </c>
      <c r="D154" s="42">
        <v>8</v>
      </c>
      <c r="E154" s="48">
        <v>337</v>
      </c>
      <c r="F154" s="31">
        <f t="shared" si="14"/>
        <v>0.19881305637982197</v>
      </c>
    </row>
    <row r="155" spans="1:6" x14ac:dyDescent="0.25">
      <c r="A155" s="8" t="s">
        <v>62</v>
      </c>
      <c r="B155" s="8" t="s">
        <v>77</v>
      </c>
      <c r="C155" s="42">
        <v>91</v>
      </c>
      <c r="D155" s="42">
        <v>12</v>
      </c>
      <c r="E155" s="42">
        <v>277</v>
      </c>
      <c r="F155" s="31">
        <f t="shared" si="14"/>
        <v>0.37184115523465705</v>
      </c>
    </row>
    <row r="156" spans="1:6" x14ac:dyDescent="0.25">
      <c r="A156" s="8" t="s">
        <v>62</v>
      </c>
      <c r="B156" s="8" t="s">
        <v>78</v>
      </c>
      <c r="C156" s="42">
        <v>66</v>
      </c>
      <c r="D156" s="42">
        <v>15</v>
      </c>
      <c r="E156" s="42">
        <v>324</v>
      </c>
      <c r="F156" s="31">
        <f t="shared" si="14"/>
        <v>0.25</v>
      </c>
    </row>
    <row r="157" spans="1:6" x14ac:dyDescent="0.25">
      <c r="A157" s="8" t="s">
        <v>62</v>
      </c>
      <c r="B157" s="8" t="s">
        <v>79</v>
      </c>
      <c r="C157" s="42">
        <v>99</v>
      </c>
      <c r="D157" s="42">
        <v>19</v>
      </c>
      <c r="E157" s="42">
        <v>603</v>
      </c>
      <c r="F157" s="31">
        <f t="shared" si="14"/>
        <v>0.19568822553897181</v>
      </c>
    </row>
    <row r="158" spans="1:6" x14ac:dyDescent="0.25">
      <c r="A158" s="8" t="s">
        <v>62</v>
      </c>
      <c r="B158" s="8" t="s">
        <v>80</v>
      </c>
      <c r="C158" s="42">
        <v>119</v>
      </c>
      <c r="D158" s="42">
        <v>18</v>
      </c>
      <c r="E158" s="42">
        <v>515</v>
      </c>
      <c r="F158" s="31">
        <f t="shared" si="14"/>
        <v>0.26601941747572816</v>
      </c>
    </row>
    <row r="159" spans="1:6" x14ac:dyDescent="0.25">
      <c r="A159" s="8" t="s">
        <v>62</v>
      </c>
      <c r="B159" s="8" t="s">
        <v>81</v>
      </c>
      <c r="C159" s="42">
        <v>47</v>
      </c>
      <c r="D159" s="42">
        <v>5</v>
      </c>
      <c r="E159" s="42">
        <v>399</v>
      </c>
      <c r="F159" s="31">
        <f t="shared" si="14"/>
        <v>0.13032581453634084</v>
      </c>
    </row>
    <row r="160" spans="1:6" x14ac:dyDescent="0.25">
      <c r="A160" s="8" t="s">
        <v>62</v>
      </c>
      <c r="B160" s="8" t="s">
        <v>82</v>
      </c>
      <c r="C160" s="42">
        <v>56</v>
      </c>
      <c r="D160" s="42">
        <v>5</v>
      </c>
      <c r="E160" s="42">
        <v>275</v>
      </c>
      <c r="F160" s="31">
        <f t="shared" si="14"/>
        <v>0.22181818181818183</v>
      </c>
    </row>
    <row r="161" spans="1:6" x14ac:dyDescent="0.25">
      <c r="A161" s="8" t="s">
        <v>62</v>
      </c>
      <c r="B161" s="8" t="s">
        <v>83</v>
      </c>
      <c r="C161" s="42">
        <v>124</v>
      </c>
      <c r="D161" s="42">
        <v>11</v>
      </c>
      <c r="E161" s="42">
        <v>394</v>
      </c>
      <c r="F161" s="31">
        <f t="shared" si="14"/>
        <v>0.34263959390862941</v>
      </c>
    </row>
    <row r="162" spans="1:6" x14ac:dyDescent="0.25">
      <c r="A162" s="8" t="s">
        <v>62</v>
      </c>
      <c r="B162" s="8" t="s">
        <v>84</v>
      </c>
      <c r="C162" s="42">
        <v>25</v>
      </c>
      <c r="D162" s="42">
        <v>2</v>
      </c>
      <c r="E162" s="42">
        <v>65</v>
      </c>
      <c r="F162" s="31">
        <f t="shared" si="14"/>
        <v>0.41538461538461541</v>
      </c>
    </row>
    <row r="163" spans="1:6" x14ac:dyDescent="0.25">
      <c r="A163" s="8" t="s">
        <v>62</v>
      </c>
      <c r="B163" s="8" t="s">
        <v>85</v>
      </c>
      <c r="C163" s="42">
        <v>10</v>
      </c>
      <c r="D163" s="42">
        <v>2</v>
      </c>
      <c r="E163" s="42">
        <v>59</v>
      </c>
      <c r="F163" s="31">
        <f t="shared" si="14"/>
        <v>0.20338983050847459</v>
      </c>
    </row>
    <row r="164" spans="1:6" x14ac:dyDescent="0.25">
      <c r="A164" s="8" t="s">
        <v>62</v>
      </c>
      <c r="B164" s="8" t="s">
        <v>86</v>
      </c>
      <c r="C164" s="42">
        <v>45</v>
      </c>
      <c r="D164" s="42">
        <v>7</v>
      </c>
      <c r="E164" s="42">
        <v>294</v>
      </c>
      <c r="F164" s="31">
        <f t="shared" si="14"/>
        <v>0.17687074829931973</v>
      </c>
    </row>
    <row r="165" spans="1:6" x14ac:dyDescent="0.25">
      <c r="A165" s="8" t="s">
        <v>62</v>
      </c>
      <c r="B165" s="8" t="s">
        <v>87</v>
      </c>
      <c r="C165" s="42">
        <v>118</v>
      </c>
      <c r="D165" s="42">
        <v>21</v>
      </c>
      <c r="E165" s="42">
        <v>389</v>
      </c>
      <c r="F165" s="31">
        <f t="shared" si="14"/>
        <v>0.35732647814910024</v>
      </c>
    </row>
    <row r="166" spans="1:6" x14ac:dyDescent="0.25">
      <c r="A166" s="8" t="s">
        <v>62</v>
      </c>
      <c r="B166" s="8" t="s">
        <v>88</v>
      </c>
      <c r="C166" s="42">
        <v>15</v>
      </c>
      <c r="D166" s="42">
        <v>2</v>
      </c>
      <c r="E166" s="42">
        <v>67</v>
      </c>
      <c r="F166" s="31">
        <f t="shared" si="14"/>
        <v>0.2537313432835821</v>
      </c>
    </row>
    <row r="167" spans="1:6" x14ac:dyDescent="0.25">
      <c r="A167" s="8" t="s">
        <v>62</v>
      </c>
      <c r="B167" s="8" t="s">
        <v>89</v>
      </c>
      <c r="C167" s="42">
        <v>89</v>
      </c>
      <c r="D167" s="42">
        <v>11</v>
      </c>
      <c r="E167" s="42">
        <v>355</v>
      </c>
      <c r="F167" s="31">
        <f t="shared" si="14"/>
        <v>0.28169014084507044</v>
      </c>
    </row>
    <row r="168" spans="1:6" x14ac:dyDescent="0.25">
      <c r="A168" s="8" t="s">
        <v>62</v>
      </c>
      <c r="B168" s="8" t="s">
        <v>375</v>
      </c>
      <c r="C168" s="42">
        <v>8</v>
      </c>
      <c r="D168" s="42">
        <v>2</v>
      </c>
      <c r="E168" s="42">
        <v>199</v>
      </c>
      <c r="F168" s="31">
        <f t="shared" si="14"/>
        <v>5.0251256281407038E-2</v>
      </c>
    </row>
    <row r="169" spans="1:6" x14ac:dyDescent="0.25">
      <c r="A169" s="8" t="s">
        <v>62</v>
      </c>
      <c r="B169" s="8" t="s">
        <v>90</v>
      </c>
      <c r="C169" s="42">
        <v>83</v>
      </c>
      <c r="D169" s="42">
        <v>6</v>
      </c>
      <c r="E169" s="42">
        <v>374</v>
      </c>
      <c r="F169" s="31">
        <f t="shared" si="14"/>
        <v>0.23796791443850268</v>
      </c>
    </row>
    <row r="170" spans="1:6" x14ac:dyDescent="0.25">
      <c r="A170" s="8" t="s">
        <v>62</v>
      </c>
      <c r="B170" s="8" t="s">
        <v>91</v>
      </c>
      <c r="C170" s="42">
        <v>143</v>
      </c>
      <c r="D170" s="42">
        <v>11</v>
      </c>
      <c r="E170" s="42">
        <v>874</v>
      </c>
      <c r="F170" s="31">
        <f t="shared" si="14"/>
        <v>0.17620137299771166</v>
      </c>
    </row>
    <row r="171" spans="1:6" x14ac:dyDescent="0.25">
      <c r="A171" s="8" t="s">
        <v>62</v>
      </c>
      <c r="B171" s="8" t="s">
        <v>92</v>
      </c>
      <c r="C171" s="42">
        <v>87</v>
      </c>
      <c r="D171" s="42">
        <v>13</v>
      </c>
      <c r="E171" s="42">
        <v>424</v>
      </c>
      <c r="F171" s="31">
        <f t="shared" si="14"/>
        <v>0.23584905660377359</v>
      </c>
    </row>
    <row r="172" spans="1:6" x14ac:dyDescent="0.25">
      <c r="A172" s="6" t="s">
        <v>376</v>
      </c>
      <c r="B172" s="38"/>
      <c r="C172" s="7">
        <f>SUM(C173:C175)</f>
        <v>207.81170000000003</v>
      </c>
      <c r="D172" s="7">
        <f>SUM(D173:D175)</f>
        <v>0</v>
      </c>
      <c r="E172" s="7">
        <f>SUM(E173:E175)</f>
        <v>231</v>
      </c>
      <c r="F172" s="41">
        <f t="shared" si="14"/>
        <v>0.89961774891774904</v>
      </c>
    </row>
    <row r="173" spans="1:6" x14ac:dyDescent="0.25">
      <c r="A173" s="8" t="s">
        <v>93</v>
      </c>
      <c r="B173" s="8" t="s">
        <v>326</v>
      </c>
      <c r="C173" s="12">
        <f>E173*0.9011</f>
        <v>134.26390000000001</v>
      </c>
      <c r="D173" s="12">
        <v>0</v>
      </c>
      <c r="E173" s="12">
        <v>149</v>
      </c>
      <c r="F173" s="32">
        <v>0.90110000000000001</v>
      </c>
    </row>
    <row r="174" spans="1:6" x14ac:dyDescent="0.25">
      <c r="A174" s="8" t="s">
        <v>93</v>
      </c>
      <c r="B174" s="8" t="s">
        <v>327</v>
      </c>
      <c r="C174" s="12">
        <f>E174*0.9286</f>
        <v>41.786999999999999</v>
      </c>
      <c r="D174" s="12">
        <v>0</v>
      </c>
      <c r="E174" s="12">
        <v>45</v>
      </c>
      <c r="F174" s="32">
        <v>0.92859999999999998</v>
      </c>
    </row>
    <row r="175" spans="1:6" x14ac:dyDescent="0.25">
      <c r="A175" s="8" t="s">
        <v>93</v>
      </c>
      <c r="B175" s="8" t="s">
        <v>328</v>
      </c>
      <c r="C175" s="12">
        <f>E175*0.8584</f>
        <v>31.760800000000003</v>
      </c>
      <c r="D175" s="12">
        <v>0</v>
      </c>
      <c r="E175" s="12">
        <v>37</v>
      </c>
      <c r="F175" s="32">
        <v>0.85840000000000005</v>
      </c>
    </row>
    <row r="176" spans="1:6" x14ac:dyDescent="0.25">
      <c r="A176" s="6" t="s">
        <v>377</v>
      </c>
      <c r="B176" s="38"/>
      <c r="C176" s="7">
        <f>SUM(C177:C178)</f>
        <v>80</v>
      </c>
      <c r="D176" s="7">
        <f t="shared" ref="D176:E176" si="15">SUM(D177:D178)</f>
        <v>1</v>
      </c>
      <c r="E176" s="7">
        <f t="shared" si="15"/>
        <v>241</v>
      </c>
      <c r="F176" s="41">
        <f t="shared" ref="F176:F179" si="16">(C176+D176)/E176</f>
        <v>0.33609958506224069</v>
      </c>
    </row>
    <row r="177" spans="1:6" x14ac:dyDescent="0.25">
      <c r="A177" s="8" t="s">
        <v>94</v>
      </c>
      <c r="B177" s="8" t="s">
        <v>378</v>
      </c>
      <c r="C177" s="42">
        <v>68</v>
      </c>
      <c r="D177" s="42">
        <v>1</v>
      </c>
      <c r="E177" s="42">
        <v>166</v>
      </c>
      <c r="F177" s="32">
        <f t="shared" si="16"/>
        <v>0.41566265060240964</v>
      </c>
    </row>
    <row r="178" spans="1:6" x14ac:dyDescent="0.25">
      <c r="A178" s="8" t="s">
        <v>94</v>
      </c>
      <c r="B178" s="8" t="s">
        <v>379</v>
      </c>
      <c r="C178" s="42">
        <v>12</v>
      </c>
      <c r="D178" s="42">
        <v>0</v>
      </c>
      <c r="E178" s="42">
        <v>75</v>
      </c>
      <c r="F178" s="32">
        <f t="shared" si="16"/>
        <v>0.16</v>
      </c>
    </row>
    <row r="179" spans="1:6" x14ac:dyDescent="0.25">
      <c r="A179" s="6" t="s">
        <v>380</v>
      </c>
      <c r="B179" s="38"/>
      <c r="C179" s="7">
        <f>SUM(C180:C180)</f>
        <v>110.8368</v>
      </c>
      <c r="D179" s="7">
        <f>SUM(D180:D180)</f>
        <v>0</v>
      </c>
      <c r="E179" s="7">
        <f>SUM(E180:E180)</f>
        <v>129</v>
      </c>
      <c r="F179" s="41">
        <f t="shared" si="16"/>
        <v>0.85919999999999996</v>
      </c>
    </row>
    <row r="180" spans="1:6" x14ac:dyDescent="0.25">
      <c r="A180" s="8" t="s">
        <v>95</v>
      </c>
      <c r="B180" s="8" t="s">
        <v>506</v>
      </c>
      <c r="C180" s="12">
        <f>E180*0.8592</f>
        <v>110.8368</v>
      </c>
      <c r="D180" s="12">
        <v>0</v>
      </c>
      <c r="E180" s="12">
        <v>129</v>
      </c>
      <c r="F180" s="32">
        <v>0.85919999999999996</v>
      </c>
    </row>
    <row r="181" spans="1:6" x14ac:dyDescent="0.25">
      <c r="A181" s="6" t="s">
        <v>381</v>
      </c>
      <c r="B181" s="38"/>
      <c r="C181" s="7">
        <f>SUM(C182:C182)</f>
        <v>64.166399999999996</v>
      </c>
      <c r="D181" s="7">
        <f>SUM(D182:D182)</f>
        <v>0</v>
      </c>
      <c r="E181" s="7">
        <f>SUM(E182:E182)</f>
        <v>72</v>
      </c>
      <c r="F181" s="41">
        <f t="shared" ref="F181" si="17">(C181+D181)/E181</f>
        <v>0.89119999999999999</v>
      </c>
    </row>
    <row r="182" spans="1:6" x14ac:dyDescent="0.25">
      <c r="A182" s="8" t="s">
        <v>96</v>
      </c>
      <c r="B182" s="8" t="s">
        <v>507</v>
      </c>
      <c r="C182" s="12">
        <f>E182*0.8912</f>
        <v>64.166399999999996</v>
      </c>
      <c r="D182" s="12">
        <v>0</v>
      </c>
      <c r="E182" s="12">
        <v>72</v>
      </c>
      <c r="F182" s="32">
        <v>0.89119999999999999</v>
      </c>
    </row>
    <row r="183" spans="1:6" x14ac:dyDescent="0.25">
      <c r="A183" s="6" t="s">
        <v>382</v>
      </c>
      <c r="B183" s="38"/>
      <c r="C183" s="7">
        <f>SUM(C184:C190)</f>
        <v>148.86399999999998</v>
      </c>
      <c r="D183" s="7">
        <f>SUM(D184:D190)</f>
        <v>0</v>
      </c>
      <c r="E183" s="7">
        <f>SUM(E184:E190)</f>
        <v>170</v>
      </c>
      <c r="F183" s="41">
        <f t="shared" ref="F183" si="18">(C183+D183)/E183</f>
        <v>0.87567058823529398</v>
      </c>
    </row>
    <row r="184" spans="1:6" x14ac:dyDescent="0.25">
      <c r="A184" s="8" t="s">
        <v>97</v>
      </c>
      <c r="B184" s="8" t="s">
        <v>257</v>
      </c>
      <c r="C184" s="44">
        <f>E184*0.8</f>
        <v>12</v>
      </c>
      <c r="D184" s="12">
        <v>0</v>
      </c>
      <c r="E184" s="12">
        <v>15</v>
      </c>
      <c r="F184" s="32">
        <v>0.8</v>
      </c>
    </row>
    <row r="185" spans="1:6" x14ac:dyDescent="0.25">
      <c r="A185" s="8" t="s">
        <v>97</v>
      </c>
      <c r="B185" s="8" t="s">
        <v>258</v>
      </c>
      <c r="C185" s="44">
        <f>E185*1</f>
        <v>47</v>
      </c>
      <c r="D185" s="12">
        <v>0</v>
      </c>
      <c r="E185" s="12">
        <v>47</v>
      </c>
      <c r="F185" s="43">
        <v>1</v>
      </c>
    </row>
    <row r="186" spans="1:6" x14ac:dyDescent="0.25">
      <c r="A186" s="8" t="s">
        <v>97</v>
      </c>
      <c r="B186" s="8" t="s">
        <v>383</v>
      </c>
      <c r="C186" s="44">
        <f>E186*1</f>
        <v>19</v>
      </c>
      <c r="D186" s="12">
        <v>0</v>
      </c>
      <c r="E186" s="12">
        <v>19</v>
      </c>
      <c r="F186" s="43">
        <v>1</v>
      </c>
    </row>
    <row r="187" spans="1:6" x14ac:dyDescent="0.25">
      <c r="A187" s="8" t="s">
        <v>97</v>
      </c>
      <c r="B187" s="8" t="s">
        <v>259</v>
      </c>
      <c r="C187" s="44">
        <f>E187*1</f>
        <v>33</v>
      </c>
      <c r="D187" s="12">
        <v>0</v>
      </c>
      <c r="E187" s="12">
        <v>33</v>
      </c>
      <c r="F187" s="43">
        <v>1</v>
      </c>
    </row>
    <row r="188" spans="1:6" x14ac:dyDescent="0.25">
      <c r="A188" s="8" t="s">
        <v>97</v>
      </c>
      <c r="B188" s="8" t="s">
        <v>384</v>
      </c>
      <c r="C188" s="44">
        <f>E188*0.4888</f>
        <v>14.664</v>
      </c>
      <c r="D188" s="12">
        <v>0</v>
      </c>
      <c r="E188" s="12">
        <v>30</v>
      </c>
      <c r="F188" s="32">
        <v>0.48880000000000001</v>
      </c>
    </row>
    <row r="189" spans="1:6" x14ac:dyDescent="0.25">
      <c r="A189" s="8" t="s">
        <v>97</v>
      </c>
      <c r="B189" s="8" t="s">
        <v>260</v>
      </c>
      <c r="C189" s="44">
        <f>E189*1</f>
        <v>12</v>
      </c>
      <c r="D189" s="12">
        <v>0</v>
      </c>
      <c r="E189" s="12">
        <v>12</v>
      </c>
      <c r="F189" s="32">
        <v>1</v>
      </c>
    </row>
    <row r="190" spans="1:6" x14ac:dyDescent="0.25">
      <c r="A190" s="8" t="s">
        <v>97</v>
      </c>
      <c r="B190" s="8" t="s">
        <v>261</v>
      </c>
      <c r="C190" s="44">
        <f t="shared" ref="C190" si="19">E190*0.8</f>
        <v>11.200000000000001</v>
      </c>
      <c r="D190" s="12">
        <v>0</v>
      </c>
      <c r="E190" s="12">
        <v>14</v>
      </c>
      <c r="F190" s="32">
        <v>0.8</v>
      </c>
    </row>
    <row r="191" spans="1:6" x14ac:dyDescent="0.25">
      <c r="A191" s="6" t="s">
        <v>385</v>
      </c>
      <c r="B191" s="38"/>
      <c r="C191" s="7">
        <f>SUM(C192:C204)</f>
        <v>745.3</v>
      </c>
      <c r="D191" s="7">
        <f>SUM(D192:D204)</f>
        <v>76</v>
      </c>
      <c r="E191" s="7">
        <f>SUM(E192:E204)</f>
        <v>4170</v>
      </c>
      <c r="F191" s="41">
        <f t="shared" ref="F191:F203" si="20">(C191+D191)/E191</f>
        <v>0.19695443645083932</v>
      </c>
    </row>
    <row r="192" spans="1:6" x14ac:dyDescent="0.25">
      <c r="A192" s="8" t="s">
        <v>98</v>
      </c>
      <c r="B192" s="8" t="s">
        <v>99</v>
      </c>
      <c r="C192" s="12">
        <v>27</v>
      </c>
      <c r="D192" s="12">
        <v>2</v>
      </c>
      <c r="E192" s="12">
        <v>316</v>
      </c>
      <c r="F192" s="31">
        <f t="shared" si="20"/>
        <v>9.1772151898734181E-2</v>
      </c>
    </row>
    <row r="193" spans="1:6" x14ac:dyDescent="0.25">
      <c r="A193" s="8" t="s">
        <v>98</v>
      </c>
      <c r="B193" s="8" t="s">
        <v>100</v>
      </c>
      <c r="C193" s="12">
        <v>91</v>
      </c>
      <c r="D193" s="12">
        <v>10</v>
      </c>
      <c r="E193" s="12">
        <v>440</v>
      </c>
      <c r="F193" s="31">
        <f t="shared" si="20"/>
        <v>0.22954545454545455</v>
      </c>
    </row>
    <row r="194" spans="1:6" x14ac:dyDescent="0.25">
      <c r="A194" s="8" t="s">
        <v>98</v>
      </c>
      <c r="B194" s="8" t="s">
        <v>101</v>
      </c>
      <c r="C194" s="12">
        <v>67</v>
      </c>
      <c r="D194" s="12">
        <v>8</v>
      </c>
      <c r="E194" s="12">
        <v>401</v>
      </c>
      <c r="F194" s="31">
        <f t="shared" si="20"/>
        <v>0.18703241895261846</v>
      </c>
    </row>
    <row r="195" spans="1:6" x14ac:dyDescent="0.25">
      <c r="A195" s="8" t="s">
        <v>98</v>
      </c>
      <c r="B195" s="8" t="s">
        <v>386</v>
      </c>
      <c r="C195" s="12">
        <v>60</v>
      </c>
      <c r="D195" s="12">
        <v>0</v>
      </c>
      <c r="E195" s="12">
        <v>249</v>
      </c>
      <c r="F195" s="31">
        <f t="shared" si="20"/>
        <v>0.24096385542168675</v>
      </c>
    </row>
    <row r="196" spans="1:6" x14ac:dyDescent="0.25">
      <c r="A196" s="8" t="s">
        <v>98</v>
      </c>
      <c r="B196" s="8" t="s">
        <v>387</v>
      </c>
      <c r="C196" s="12">
        <v>71</v>
      </c>
      <c r="D196" s="12">
        <v>8</v>
      </c>
      <c r="E196" s="12">
        <v>330</v>
      </c>
      <c r="F196" s="31">
        <f t="shared" si="20"/>
        <v>0.23939393939393938</v>
      </c>
    </row>
    <row r="197" spans="1:6" x14ac:dyDescent="0.25">
      <c r="A197" s="8" t="s">
        <v>98</v>
      </c>
      <c r="B197" s="8" t="s">
        <v>102</v>
      </c>
      <c r="C197" s="12">
        <v>71</v>
      </c>
      <c r="D197" s="12">
        <v>6</v>
      </c>
      <c r="E197" s="12">
        <v>304</v>
      </c>
      <c r="F197" s="31">
        <f t="shared" si="20"/>
        <v>0.25328947368421051</v>
      </c>
    </row>
    <row r="198" spans="1:6" x14ac:dyDescent="0.25">
      <c r="A198" s="8" t="s">
        <v>98</v>
      </c>
      <c r="B198" s="8" t="s">
        <v>103</v>
      </c>
      <c r="C198" s="12">
        <v>3</v>
      </c>
      <c r="D198" s="12">
        <v>5</v>
      </c>
      <c r="E198" s="12">
        <v>83</v>
      </c>
      <c r="F198" s="31">
        <f t="shared" si="20"/>
        <v>9.6385542168674704E-2</v>
      </c>
    </row>
    <row r="199" spans="1:6" x14ac:dyDescent="0.25">
      <c r="A199" s="8" t="s">
        <v>98</v>
      </c>
      <c r="B199" s="8" t="s">
        <v>388</v>
      </c>
      <c r="C199" s="12">
        <v>84</v>
      </c>
      <c r="D199" s="12">
        <v>10</v>
      </c>
      <c r="E199" s="12">
        <v>588</v>
      </c>
      <c r="F199" s="31">
        <f t="shared" si="20"/>
        <v>0.1598639455782313</v>
      </c>
    </row>
    <row r="200" spans="1:6" x14ac:dyDescent="0.25">
      <c r="A200" s="8" t="s">
        <v>98</v>
      </c>
      <c r="B200" s="8" t="s">
        <v>104</v>
      </c>
      <c r="C200" s="12">
        <v>53</v>
      </c>
      <c r="D200" s="12">
        <v>7</v>
      </c>
      <c r="E200" s="12">
        <v>312</v>
      </c>
      <c r="F200" s="31">
        <f t="shared" si="20"/>
        <v>0.19230769230769232</v>
      </c>
    </row>
    <row r="201" spans="1:6" x14ac:dyDescent="0.25">
      <c r="A201" s="8" t="s">
        <v>98</v>
      </c>
      <c r="B201" s="8" t="s">
        <v>210</v>
      </c>
      <c r="C201" s="12">
        <v>9</v>
      </c>
      <c r="D201" s="12">
        <v>3</v>
      </c>
      <c r="E201" s="12">
        <v>157</v>
      </c>
      <c r="F201" s="31">
        <f t="shared" si="20"/>
        <v>7.6433121019108277E-2</v>
      </c>
    </row>
    <row r="202" spans="1:6" x14ac:dyDescent="0.25">
      <c r="A202" s="8" t="s">
        <v>98</v>
      </c>
      <c r="B202" s="8" t="s">
        <v>105</v>
      </c>
      <c r="C202" s="12">
        <v>71</v>
      </c>
      <c r="D202" s="12">
        <v>12</v>
      </c>
      <c r="E202" s="12">
        <v>275</v>
      </c>
      <c r="F202" s="31">
        <f t="shared" si="20"/>
        <v>0.30181818181818182</v>
      </c>
    </row>
    <row r="203" spans="1:6" x14ac:dyDescent="0.25">
      <c r="A203" s="8" t="s">
        <v>98</v>
      </c>
      <c r="B203" s="8" t="s">
        <v>106</v>
      </c>
      <c r="C203" s="12">
        <v>69</v>
      </c>
      <c r="D203" s="12">
        <v>5</v>
      </c>
      <c r="E203" s="12">
        <v>638</v>
      </c>
      <c r="F203" s="31">
        <f t="shared" si="20"/>
        <v>0.11598746081504702</v>
      </c>
    </row>
    <row r="204" spans="1:6" x14ac:dyDescent="0.25">
      <c r="A204" s="8" t="s">
        <v>98</v>
      </c>
      <c r="B204" s="8" t="s">
        <v>389</v>
      </c>
      <c r="C204" s="12">
        <f>E204*0.9</f>
        <v>69.3</v>
      </c>
      <c r="D204" s="12">
        <v>0</v>
      </c>
      <c r="E204" s="12">
        <v>77</v>
      </c>
      <c r="F204" s="32">
        <v>0.9</v>
      </c>
    </row>
    <row r="205" spans="1:6" x14ac:dyDescent="0.25">
      <c r="A205" s="6" t="s">
        <v>390</v>
      </c>
      <c r="B205" s="38"/>
      <c r="C205" s="17">
        <f>SUM(C206)</f>
        <v>95</v>
      </c>
      <c r="D205" s="7">
        <f>SUM(D206)</f>
        <v>0</v>
      </c>
      <c r="E205" s="7">
        <f>SUM(E206)</f>
        <v>103</v>
      </c>
      <c r="F205" s="41">
        <v>0.9254</v>
      </c>
    </row>
    <row r="206" spans="1:6" x14ac:dyDescent="0.25">
      <c r="A206" s="8" t="s">
        <v>107</v>
      </c>
      <c r="B206" s="8" t="s">
        <v>391</v>
      </c>
      <c r="C206" s="12">
        <v>95</v>
      </c>
      <c r="D206" s="12">
        <v>0</v>
      </c>
      <c r="E206" s="12">
        <v>103</v>
      </c>
      <c r="F206" s="31">
        <v>0.9254</v>
      </c>
    </row>
    <row r="207" spans="1:6" x14ac:dyDescent="0.25">
      <c r="A207" s="6" t="s">
        <v>392</v>
      </c>
      <c r="B207" s="38"/>
      <c r="C207" s="17">
        <f>SUM(C208)</f>
        <v>327</v>
      </c>
      <c r="D207" s="7">
        <f>SUM(D208)</f>
        <v>0</v>
      </c>
      <c r="E207" s="7">
        <f>SUM(E208)</f>
        <v>327</v>
      </c>
      <c r="F207" s="51">
        <f t="shared" ref="F207:F255" si="21">(C207+D207)/E207</f>
        <v>1</v>
      </c>
    </row>
    <row r="208" spans="1:6" x14ac:dyDescent="0.25">
      <c r="A208" s="8" t="s">
        <v>108</v>
      </c>
      <c r="B208" s="8" t="s">
        <v>393</v>
      </c>
      <c r="C208" s="44">
        <f>E208*1</f>
        <v>327</v>
      </c>
      <c r="D208" s="12">
        <v>0</v>
      </c>
      <c r="E208" s="12">
        <v>327</v>
      </c>
      <c r="F208" s="43">
        <v>1</v>
      </c>
    </row>
    <row r="209" spans="1:6" x14ac:dyDescent="0.25">
      <c r="A209" s="6" t="s">
        <v>394</v>
      </c>
      <c r="B209" s="38"/>
      <c r="C209" s="7">
        <f>SUM(C210:C243)</f>
        <v>1764</v>
      </c>
      <c r="D209" s="7">
        <f>SUM(D210:D243)</f>
        <v>110</v>
      </c>
      <c r="E209" s="7">
        <f>SUM(E210:E243)</f>
        <v>7209</v>
      </c>
      <c r="F209" s="41">
        <f t="shared" si="21"/>
        <v>0.25995283673186292</v>
      </c>
    </row>
    <row r="210" spans="1:6" x14ac:dyDescent="0.25">
      <c r="A210" s="8" t="s">
        <v>109</v>
      </c>
      <c r="B210" s="8" t="s">
        <v>110</v>
      </c>
      <c r="C210" s="12">
        <v>41</v>
      </c>
      <c r="D210" s="12">
        <v>1</v>
      </c>
      <c r="E210" s="12">
        <v>165</v>
      </c>
      <c r="F210" s="31">
        <f t="shared" si="21"/>
        <v>0.25454545454545452</v>
      </c>
    </row>
    <row r="211" spans="1:6" x14ac:dyDescent="0.25">
      <c r="A211" s="8" t="s">
        <v>109</v>
      </c>
      <c r="B211" s="8" t="s">
        <v>111</v>
      </c>
      <c r="C211" s="12">
        <v>28</v>
      </c>
      <c r="D211" s="12">
        <v>6</v>
      </c>
      <c r="E211" s="12">
        <v>101</v>
      </c>
      <c r="F211" s="31">
        <f t="shared" si="21"/>
        <v>0.33663366336633666</v>
      </c>
    </row>
    <row r="212" spans="1:6" x14ac:dyDescent="0.25">
      <c r="A212" s="8" t="s">
        <v>109</v>
      </c>
      <c r="B212" s="8" t="s">
        <v>484</v>
      </c>
      <c r="C212" s="12">
        <v>11</v>
      </c>
      <c r="D212" s="12">
        <v>1</v>
      </c>
      <c r="E212" s="12">
        <v>36</v>
      </c>
      <c r="F212" s="31">
        <f t="shared" si="21"/>
        <v>0.33333333333333331</v>
      </c>
    </row>
    <row r="213" spans="1:6" x14ac:dyDescent="0.25">
      <c r="A213" s="8" t="s">
        <v>109</v>
      </c>
      <c r="B213" s="8" t="s">
        <v>112</v>
      </c>
      <c r="C213" s="12">
        <v>71</v>
      </c>
      <c r="D213" s="12">
        <v>7</v>
      </c>
      <c r="E213" s="12">
        <v>379</v>
      </c>
      <c r="F213" s="31">
        <f t="shared" si="21"/>
        <v>0.20580474934036938</v>
      </c>
    </row>
    <row r="214" spans="1:6" x14ac:dyDescent="0.25">
      <c r="A214" s="8" t="s">
        <v>109</v>
      </c>
      <c r="B214" s="8" t="s">
        <v>113</v>
      </c>
      <c r="C214" s="12">
        <v>37</v>
      </c>
      <c r="D214" s="12">
        <v>6</v>
      </c>
      <c r="E214" s="12">
        <v>194</v>
      </c>
      <c r="F214" s="31">
        <f t="shared" si="21"/>
        <v>0.22164948453608246</v>
      </c>
    </row>
    <row r="215" spans="1:6" x14ac:dyDescent="0.25">
      <c r="A215" s="8" t="s">
        <v>109</v>
      </c>
      <c r="B215" s="8" t="s">
        <v>114</v>
      </c>
      <c r="C215" s="12">
        <v>55</v>
      </c>
      <c r="D215" s="12">
        <v>0</v>
      </c>
      <c r="E215" s="12">
        <v>241</v>
      </c>
      <c r="F215" s="31">
        <f t="shared" si="21"/>
        <v>0.22821576763485477</v>
      </c>
    </row>
    <row r="216" spans="1:6" x14ac:dyDescent="0.25">
      <c r="A216" s="8" t="s">
        <v>109</v>
      </c>
      <c r="B216" s="8" t="s">
        <v>115</v>
      </c>
      <c r="C216" s="12">
        <v>97</v>
      </c>
      <c r="D216" s="12">
        <v>0</v>
      </c>
      <c r="E216" s="12">
        <v>395</v>
      </c>
      <c r="F216" s="31">
        <f t="shared" si="21"/>
        <v>0.24556962025316456</v>
      </c>
    </row>
    <row r="217" spans="1:6" x14ac:dyDescent="0.25">
      <c r="A217" s="8" t="s">
        <v>109</v>
      </c>
      <c r="B217" s="8" t="s">
        <v>116</v>
      </c>
      <c r="C217" s="12">
        <v>22</v>
      </c>
      <c r="D217" s="12">
        <v>0</v>
      </c>
      <c r="E217" s="12">
        <v>52</v>
      </c>
      <c r="F217" s="31">
        <f t="shared" si="21"/>
        <v>0.42307692307692307</v>
      </c>
    </row>
    <row r="218" spans="1:6" x14ac:dyDescent="0.25">
      <c r="A218" s="8" t="s">
        <v>109</v>
      </c>
      <c r="B218" s="8" t="s">
        <v>117</v>
      </c>
      <c r="C218" s="12">
        <v>105</v>
      </c>
      <c r="D218" s="12">
        <v>0</v>
      </c>
      <c r="E218" s="12">
        <v>469</v>
      </c>
      <c r="F218" s="31">
        <f t="shared" si="21"/>
        <v>0.22388059701492538</v>
      </c>
    </row>
    <row r="219" spans="1:6" x14ac:dyDescent="0.25">
      <c r="A219" s="8" t="s">
        <v>109</v>
      </c>
      <c r="B219" s="8" t="s">
        <v>118</v>
      </c>
      <c r="C219" s="12">
        <v>109</v>
      </c>
      <c r="D219" s="12">
        <v>6</v>
      </c>
      <c r="E219" s="12">
        <v>425</v>
      </c>
      <c r="F219" s="31">
        <f t="shared" si="21"/>
        <v>0.27058823529411763</v>
      </c>
    </row>
    <row r="220" spans="1:6" x14ac:dyDescent="0.25">
      <c r="A220" s="8" t="s">
        <v>109</v>
      </c>
      <c r="B220" s="8" t="s">
        <v>119</v>
      </c>
      <c r="C220" s="12">
        <v>33</v>
      </c>
      <c r="D220" s="12">
        <v>2</v>
      </c>
      <c r="E220" s="12">
        <v>126</v>
      </c>
      <c r="F220" s="31">
        <f t="shared" si="21"/>
        <v>0.27777777777777779</v>
      </c>
    </row>
    <row r="221" spans="1:6" x14ac:dyDescent="0.25">
      <c r="A221" s="8" t="s">
        <v>109</v>
      </c>
      <c r="B221" s="8" t="s">
        <v>120</v>
      </c>
      <c r="C221" s="12">
        <v>3</v>
      </c>
      <c r="D221" s="12">
        <v>0</v>
      </c>
      <c r="E221" s="12">
        <v>18</v>
      </c>
      <c r="F221" s="31">
        <f t="shared" si="21"/>
        <v>0.16666666666666666</v>
      </c>
    </row>
    <row r="222" spans="1:6" x14ac:dyDescent="0.25">
      <c r="A222" s="8" t="s">
        <v>109</v>
      </c>
      <c r="B222" s="8" t="s">
        <v>121</v>
      </c>
      <c r="C222" s="12">
        <v>153</v>
      </c>
      <c r="D222" s="12">
        <v>7</v>
      </c>
      <c r="E222" s="12">
        <v>400</v>
      </c>
      <c r="F222" s="31">
        <f t="shared" si="21"/>
        <v>0.4</v>
      </c>
    </row>
    <row r="223" spans="1:6" x14ac:dyDescent="0.25">
      <c r="A223" s="8" t="s">
        <v>109</v>
      </c>
      <c r="B223" s="8" t="s">
        <v>485</v>
      </c>
      <c r="C223" s="12">
        <v>58</v>
      </c>
      <c r="D223" s="12">
        <v>0</v>
      </c>
      <c r="E223" s="12">
        <v>85</v>
      </c>
      <c r="F223" s="31">
        <f t="shared" si="21"/>
        <v>0.68235294117647061</v>
      </c>
    </row>
    <row r="224" spans="1:6" x14ac:dyDescent="0.25">
      <c r="A224" s="8" t="s">
        <v>109</v>
      </c>
      <c r="B224" s="8" t="s">
        <v>122</v>
      </c>
      <c r="C224" s="12">
        <v>102</v>
      </c>
      <c r="D224" s="12">
        <v>6</v>
      </c>
      <c r="E224" s="12">
        <v>345</v>
      </c>
      <c r="F224" s="31">
        <f t="shared" si="21"/>
        <v>0.31304347826086959</v>
      </c>
    </row>
    <row r="225" spans="1:6" x14ac:dyDescent="0.25">
      <c r="A225" s="8" t="s">
        <v>109</v>
      </c>
      <c r="B225" s="8" t="s">
        <v>123</v>
      </c>
      <c r="C225" s="12">
        <v>91</v>
      </c>
      <c r="D225" s="12">
        <v>7</v>
      </c>
      <c r="E225" s="12">
        <v>277</v>
      </c>
      <c r="F225" s="31">
        <f t="shared" si="21"/>
        <v>0.35379061371841153</v>
      </c>
    </row>
    <row r="226" spans="1:6" x14ac:dyDescent="0.25">
      <c r="A226" s="8" t="s">
        <v>109</v>
      </c>
      <c r="B226" s="8" t="s">
        <v>486</v>
      </c>
      <c r="C226" s="12">
        <v>6</v>
      </c>
      <c r="D226" s="12">
        <v>0</v>
      </c>
      <c r="E226" s="12">
        <v>18</v>
      </c>
      <c r="F226" s="31">
        <f t="shared" si="21"/>
        <v>0.33333333333333331</v>
      </c>
    </row>
    <row r="227" spans="1:6" x14ac:dyDescent="0.25">
      <c r="A227" s="8" t="s">
        <v>109</v>
      </c>
      <c r="B227" s="8" t="s">
        <v>124</v>
      </c>
      <c r="C227" s="12">
        <v>42</v>
      </c>
      <c r="D227" s="12">
        <v>1</v>
      </c>
      <c r="E227" s="12">
        <v>110</v>
      </c>
      <c r="F227" s="31">
        <f t="shared" si="21"/>
        <v>0.39090909090909093</v>
      </c>
    </row>
    <row r="228" spans="1:6" x14ac:dyDescent="0.25">
      <c r="A228" s="8" t="s">
        <v>109</v>
      </c>
      <c r="B228" s="8" t="s">
        <v>125</v>
      </c>
      <c r="C228" s="12">
        <v>26</v>
      </c>
      <c r="D228" s="12">
        <v>2</v>
      </c>
      <c r="E228" s="12">
        <v>170</v>
      </c>
      <c r="F228" s="31">
        <f t="shared" si="21"/>
        <v>0.16470588235294117</v>
      </c>
    </row>
    <row r="229" spans="1:6" x14ac:dyDescent="0.25">
      <c r="A229" s="8" t="s">
        <v>109</v>
      </c>
      <c r="B229" s="8" t="s">
        <v>487</v>
      </c>
      <c r="C229" s="12">
        <v>6</v>
      </c>
      <c r="D229" s="12">
        <v>3</v>
      </c>
      <c r="E229" s="12">
        <v>27</v>
      </c>
      <c r="F229" s="31">
        <f t="shared" si="21"/>
        <v>0.33333333333333331</v>
      </c>
    </row>
    <row r="230" spans="1:6" x14ac:dyDescent="0.25">
      <c r="A230" s="8" t="s">
        <v>109</v>
      </c>
      <c r="B230" s="8" t="s">
        <v>126</v>
      </c>
      <c r="C230" s="12">
        <v>79</v>
      </c>
      <c r="D230" s="12">
        <v>5</v>
      </c>
      <c r="E230" s="12">
        <v>370</v>
      </c>
      <c r="F230" s="31">
        <f t="shared" si="21"/>
        <v>0.22702702702702704</v>
      </c>
    </row>
    <row r="231" spans="1:6" x14ac:dyDescent="0.25">
      <c r="A231" s="8" t="s">
        <v>109</v>
      </c>
      <c r="B231" s="8" t="s">
        <v>205</v>
      </c>
      <c r="C231" s="12">
        <v>30</v>
      </c>
      <c r="D231" s="12">
        <v>0</v>
      </c>
      <c r="E231" s="12">
        <v>129</v>
      </c>
      <c r="F231" s="31">
        <f t="shared" si="21"/>
        <v>0.23255813953488372</v>
      </c>
    </row>
    <row r="232" spans="1:6" x14ac:dyDescent="0.25">
      <c r="A232" s="8" t="s">
        <v>109</v>
      </c>
      <c r="B232" s="8" t="s">
        <v>127</v>
      </c>
      <c r="C232" s="12">
        <v>52</v>
      </c>
      <c r="D232" s="12">
        <v>6</v>
      </c>
      <c r="E232" s="12">
        <v>247</v>
      </c>
      <c r="F232" s="31">
        <f t="shared" si="21"/>
        <v>0.23481781376518218</v>
      </c>
    </row>
    <row r="233" spans="1:6" x14ac:dyDescent="0.25">
      <c r="A233" s="8" t="s">
        <v>109</v>
      </c>
      <c r="B233" s="8" t="s">
        <v>128</v>
      </c>
      <c r="C233" s="12">
        <v>23</v>
      </c>
      <c r="D233" s="12">
        <v>0</v>
      </c>
      <c r="E233" s="12">
        <v>145</v>
      </c>
      <c r="F233" s="31">
        <f t="shared" si="21"/>
        <v>0.15862068965517243</v>
      </c>
    </row>
    <row r="234" spans="1:6" x14ac:dyDescent="0.25">
      <c r="A234" s="8" t="s">
        <v>109</v>
      </c>
      <c r="B234" s="8" t="s">
        <v>129</v>
      </c>
      <c r="C234" s="12">
        <v>24</v>
      </c>
      <c r="D234" s="12">
        <v>1</v>
      </c>
      <c r="E234" s="12">
        <v>146</v>
      </c>
      <c r="F234" s="31">
        <f t="shared" si="21"/>
        <v>0.17123287671232876</v>
      </c>
    </row>
    <row r="235" spans="1:6" x14ac:dyDescent="0.25">
      <c r="A235" s="8" t="s">
        <v>109</v>
      </c>
      <c r="B235" s="8" t="s">
        <v>206</v>
      </c>
      <c r="C235" s="12">
        <v>74</v>
      </c>
      <c r="D235" s="12">
        <v>10</v>
      </c>
      <c r="E235" s="12">
        <v>388</v>
      </c>
      <c r="F235" s="31">
        <f t="shared" si="21"/>
        <v>0.21649484536082475</v>
      </c>
    </row>
    <row r="236" spans="1:6" x14ac:dyDescent="0.25">
      <c r="A236" s="8" t="s">
        <v>109</v>
      </c>
      <c r="B236" s="8" t="s">
        <v>130</v>
      </c>
      <c r="C236" s="12">
        <v>63</v>
      </c>
      <c r="D236" s="12">
        <v>5</v>
      </c>
      <c r="E236" s="12">
        <v>273</v>
      </c>
      <c r="F236" s="31">
        <f t="shared" si="21"/>
        <v>0.24908424908424909</v>
      </c>
    </row>
    <row r="237" spans="1:6" x14ac:dyDescent="0.25">
      <c r="A237" s="8" t="s">
        <v>109</v>
      </c>
      <c r="B237" s="8" t="s">
        <v>131</v>
      </c>
      <c r="C237" s="12">
        <v>139</v>
      </c>
      <c r="D237" s="12">
        <v>14</v>
      </c>
      <c r="E237" s="12">
        <v>716</v>
      </c>
      <c r="F237" s="31">
        <f t="shared" si="21"/>
        <v>0.21368715083798884</v>
      </c>
    </row>
    <row r="238" spans="1:6" x14ac:dyDescent="0.25">
      <c r="A238" s="8" t="s">
        <v>109</v>
      </c>
      <c r="B238" s="8" t="s">
        <v>207</v>
      </c>
      <c r="C238" s="12">
        <v>19</v>
      </c>
      <c r="D238" s="12">
        <v>5</v>
      </c>
      <c r="E238" s="12">
        <v>169</v>
      </c>
      <c r="F238" s="31">
        <f t="shared" si="21"/>
        <v>0.14201183431952663</v>
      </c>
    </row>
    <row r="239" spans="1:6" x14ac:dyDescent="0.25">
      <c r="A239" s="8" t="s">
        <v>109</v>
      </c>
      <c r="B239" s="8" t="s">
        <v>132</v>
      </c>
      <c r="C239" s="12">
        <v>51</v>
      </c>
      <c r="D239" s="12">
        <v>3</v>
      </c>
      <c r="E239" s="12">
        <v>167</v>
      </c>
      <c r="F239" s="31">
        <f t="shared" si="21"/>
        <v>0.32335329341317365</v>
      </c>
    </row>
    <row r="240" spans="1:6" x14ac:dyDescent="0.25">
      <c r="A240" s="8" t="s">
        <v>109</v>
      </c>
      <c r="B240" s="8" t="s">
        <v>133</v>
      </c>
      <c r="C240" s="12">
        <v>16</v>
      </c>
      <c r="D240" s="12">
        <v>2</v>
      </c>
      <c r="E240" s="12">
        <v>50</v>
      </c>
      <c r="F240" s="31">
        <f t="shared" si="21"/>
        <v>0.36</v>
      </c>
    </row>
    <row r="241" spans="1:6" x14ac:dyDescent="0.25">
      <c r="A241" s="8" t="s">
        <v>109</v>
      </c>
      <c r="B241" s="8" t="s">
        <v>488</v>
      </c>
      <c r="C241" s="44">
        <v>20</v>
      </c>
      <c r="D241" s="12">
        <v>1</v>
      </c>
      <c r="E241" s="12">
        <v>28</v>
      </c>
      <c r="F241" s="31">
        <f t="shared" si="21"/>
        <v>0.75</v>
      </c>
    </row>
    <row r="242" spans="1:6" x14ac:dyDescent="0.25">
      <c r="A242" s="8" t="s">
        <v>109</v>
      </c>
      <c r="B242" s="8" t="s">
        <v>134</v>
      </c>
      <c r="C242" s="12">
        <v>29</v>
      </c>
      <c r="D242" s="12">
        <v>0</v>
      </c>
      <c r="E242" s="12">
        <v>134</v>
      </c>
      <c r="F242" s="31">
        <f t="shared" si="21"/>
        <v>0.21641791044776118</v>
      </c>
    </row>
    <row r="243" spans="1:6" x14ac:dyDescent="0.25">
      <c r="A243" s="8" t="s">
        <v>109</v>
      </c>
      <c r="B243" s="8" t="s">
        <v>135</v>
      </c>
      <c r="C243" s="12">
        <v>49</v>
      </c>
      <c r="D243" s="12">
        <v>3</v>
      </c>
      <c r="E243" s="12">
        <v>214</v>
      </c>
      <c r="F243" s="31">
        <f t="shared" si="21"/>
        <v>0.24299065420560748</v>
      </c>
    </row>
    <row r="244" spans="1:6" x14ac:dyDescent="0.25">
      <c r="A244" s="6" t="s">
        <v>395</v>
      </c>
      <c r="B244" s="38"/>
      <c r="C244" s="7">
        <f>SUM(C245:C252)</f>
        <v>644</v>
      </c>
      <c r="D244" s="7">
        <f t="shared" ref="D244:E244" si="22">SUM(D245:D252)</f>
        <v>79</v>
      </c>
      <c r="E244" s="7">
        <f t="shared" si="22"/>
        <v>2269</v>
      </c>
      <c r="F244" s="41">
        <f t="shared" si="21"/>
        <v>0.31864257382106653</v>
      </c>
    </row>
    <row r="245" spans="1:6" x14ac:dyDescent="0.25">
      <c r="A245" s="8" t="s">
        <v>136</v>
      </c>
      <c r="B245" s="8" t="s">
        <v>396</v>
      </c>
      <c r="C245" s="12">
        <v>89</v>
      </c>
      <c r="D245" s="12">
        <v>15</v>
      </c>
      <c r="E245" s="12">
        <v>312</v>
      </c>
      <c r="F245" s="31">
        <f t="shared" si="21"/>
        <v>0.33333333333333331</v>
      </c>
    </row>
    <row r="246" spans="1:6" x14ac:dyDescent="0.25">
      <c r="A246" s="8" t="s">
        <v>136</v>
      </c>
      <c r="B246" s="8" t="s">
        <v>137</v>
      </c>
      <c r="C246" s="12">
        <v>128</v>
      </c>
      <c r="D246" s="12">
        <v>22</v>
      </c>
      <c r="E246" s="12">
        <v>377</v>
      </c>
      <c r="F246" s="31">
        <f t="shared" si="21"/>
        <v>0.39787798408488062</v>
      </c>
    </row>
    <row r="247" spans="1:6" x14ac:dyDescent="0.25">
      <c r="A247" s="8" t="s">
        <v>136</v>
      </c>
      <c r="B247" s="8" t="s">
        <v>211</v>
      </c>
      <c r="C247" s="12">
        <v>78</v>
      </c>
      <c r="D247" s="12">
        <v>1</v>
      </c>
      <c r="E247" s="12">
        <v>189</v>
      </c>
      <c r="F247" s="31">
        <f t="shared" si="21"/>
        <v>0.41798941798941797</v>
      </c>
    </row>
    <row r="248" spans="1:6" x14ac:dyDescent="0.25">
      <c r="A248" s="8" t="s">
        <v>136</v>
      </c>
      <c r="B248" s="8" t="s">
        <v>138</v>
      </c>
      <c r="C248" s="12">
        <v>128</v>
      </c>
      <c r="D248" s="12">
        <v>13</v>
      </c>
      <c r="E248" s="12">
        <v>565</v>
      </c>
      <c r="F248" s="31">
        <f t="shared" si="21"/>
        <v>0.24955752212389382</v>
      </c>
    </row>
    <row r="249" spans="1:6" x14ac:dyDescent="0.25">
      <c r="A249" s="8" t="s">
        <v>136</v>
      </c>
      <c r="B249" s="8" t="s">
        <v>397</v>
      </c>
      <c r="C249" s="12">
        <v>49</v>
      </c>
      <c r="D249" s="12">
        <v>8</v>
      </c>
      <c r="E249" s="12">
        <v>276</v>
      </c>
      <c r="F249" s="31">
        <f t="shared" si="21"/>
        <v>0.20652173913043478</v>
      </c>
    </row>
    <row r="250" spans="1:6" x14ac:dyDescent="0.25">
      <c r="A250" s="8" t="s">
        <v>136</v>
      </c>
      <c r="B250" s="8" t="s">
        <v>343</v>
      </c>
      <c r="C250" s="12">
        <v>49</v>
      </c>
      <c r="D250" s="12">
        <v>5</v>
      </c>
      <c r="E250" s="12">
        <v>110</v>
      </c>
      <c r="F250" s="31">
        <f t="shared" si="21"/>
        <v>0.49090909090909091</v>
      </c>
    </row>
    <row r="251" spans="1:6" x14ac:dyDescent="0.25">
      <c r="A251" s="8" t="s">
        <v>136</v>
      </c>
      <c r="B251" s="8" t="s">
        <v>139</v>
      </c>
      <c r="C251" s="12">
        <v>86</v>
      </c>
      <c r="D251" s="12">
        <v>7</v>
      </c>
      <c r="E251" s="12">
        <v>288</v>
      </c>
      <c r="F251" s="31">
        <f t="shared" si="21"/>
        <v>0.32291666666666669</v>
      </c>
    </row>
    <row r="252" spans="1:6" x14ac:dyDescent="0.25">
      <c r="A252" s="8" t="s">
        <v>136</v>
      </c>
      <c r="B252" s="8" t="s">
        <v>140</v>
      </c>
      <c r="C252" s="12">
        <v>37</v>
      </c>
      <c r="D252" s="12">
        <v>8</v>
      </c>
      <c r="E252" s="12">
        <v>152</v>
      </c>
      <c r="F252" s="31">
        <f t="shared" si="21"/>
        <v>0.29605263157894735</v>
      </c>
    </row>
    <row r="253" spans="1:6" x14ac:dyDescent="0.25">
      <c r="A253" s="6" t="s">
        <v>398</v>
      </c>
      <c r="B253" s="38"/>
      <c r="C253" s="7">
        <f>SUM(C254)</f>
        <v>95</v>
      </c>
      <c r="D253" s="7">
        <f>SUM(D254)</f>
        <v>0</v>
      </c>
      <c r="E253" s="7">
        <f>SUM(E254)</f>
        <v>122</v>
      </c>
      <c r="F253" s="41">
        <f t="shared" si="21"/>
        <v>0.77868852459016391</v>
      </c>
    </row>
    <row r="254" spans="1:6" x14ac:dyDescent="0.25">
      <c r="A254" s="8" t="s">
        <v>141</v>
      </c>
      <c r="B254" s="8" t="s">
        <v>142</v>
      </c>
      <c r="C254" s="12">
        <v>95</v>
      </c>
      <c r="D254" s="12">
        <v>0</v>
      </c>
      <c r="E254" s="12">
        <v>122</v>
      </c>
      <c r="F254" s="31">
        <f t="shared" si="21"/>
        <v>0.77868852459016391</v>
      </c>
    </row>
    <row r="255" spans="1:6" x14ac:dyDescent="0.25">
      <c r="A255" s="6" t="s">
        <v>399</v>
      </c>
      <c r="B255" s="38"/>
      <c r="C255" s="17">
        <f>SUM(C256:C266)</f>
        <v>614.55279999999993</v>
      </c>
      <c r="D255" s="17">
        <f>SUM(D256:D266)</f>
        <v>4</v>
      </c>
      <c r="E255" s="17">
        <f>SUM(E256:E266)</f>
        <v>2097</v>
      </c>
      <c r="F255" s="41">
        <f t="shared" si="21"/>
        <v>0.29497033857892224</v>
      </c>
    </row>
    <row r="256" spans="1:6" x14ac:dyDescent="0.25">
      <c r="A256" s="8" t="s">
        <v>143</v>
      </c>
      <c r="B256" s="8" t="s">
        <v>286</v>
      </c>
      <c r="C256" s="44">
        <f>E256*1</f>
        <v>14</v>
      </c>
      <c r="D256" s="12">
        <v>0</v>
      </c>
      <c r="E256" s="12">
        <v>14</v>
      </c>
      <c r="F256" s="43">
        <v>1</v>
      </c>
    </row>
    <row r="257" spans="1:6" x14ac:dyDescent="0.25">
      <c r="A257" s="8" t="s">
        <v>143</v>
      </c>
      <c r="B257" s="8" t="s">
        <v>287</v>
      </c>
      <c r="C257" s="12">
        <f>E257*0.7384</f>
        <v>12.5528</v>
      </c>
      <c r="D257" s="12">
        <v>0</v>
      </c>
      <c r="E257" s="12">
        <v>17</v>
      </c>
      <c r="F257" s="32">
        <v>0.73839999999999995</v>
      </c>
    </row>
    <row r="258" spans="1:6" x14ac:dyDescent="0.25">
      <c r="A258" s="8" t="s">
        <v>143</v>
      </c>
      <c r="B258" s="8" t="s">
        <v>144</v>
      </c>
      <c r="C258" s="12">
        <v>93</v>
      </c>
      <c r="D258" s="12">
        <v>0</v>
      </c>
      <c r="E258" s="12">
        <v>341</v>
      </c>
      <c r="F258" s="31">
        <f t="shared" ref="F258:F262" si="23">(C258+D258)/E258</f>
        <v>0.27272727272727271</v>
      </c>
    </row>
    <row r="259" spans="1:6" x14ac:dyDescent="0.25">
      <c r="A259" s="8" t="s">
        <v>143</v>
      </c>
      <c r="B259" s="8" t="s">
        <v>145</v>
      </c>
      <c r="C259" s="12">
        <v>147</v>
      </c>
      <c r="D259" s="12">
        <v>3</v>
      </c>
      <c r="E259" s="12">
        <v>621</v>
      </c>
      <c r="F259" s="31">
        <f t="shared" si="23"/>
        <v>0.24154589371980675</v>
      </c>
    </row>
    <row r="260" spans="1:6" x14ac:dyDescent="0.25">
      <c r="A260" s="8" t="s">
        <v>143</v>
      </c>
      <c r="B260" s="8" t="s">
        <v>146</v>
      </c>
      <c r="C260" s="12">
        <v>146</v>
      </c>
      <c r="D260" s="12">
        <v>1</v>
      </c>
      <c r="E260" s="12">
        <v>434</v>
      </c>
      <c r="F260" s="31">
        <f t="shared" si="23"/>
        <v>0.33870967741935482</v>
      </c>
    </row>
    <row r="261" spans="1:6" x14ac:dyDescent="0.25">
      <c r="A261" s="8" t="s">
        <v>143</v>
      </c>
      <c r="B261" s="8" t="s">
        <v>147</v>
      </c>
      <c r="C261" s="12">
        <v>54</v>
      </c>
      <c r="D261" s="12">
        <v>0</v>
      </c>
      <c r="E261" s="12">
        <v>177</v>
      </c>
      <c r="F261" s="31">
        <f t="shared" si="23"/>
        <v>0.30508474576271188</v>
      </c>
    </row>
    <row r="262" spans="1:6" x14ac:dyDescent="0.25">
      <c r="A262" s="8" t="s">
        <v>143</v>
      </c>
      <c r="B262" s="8" t="s">
        <v>33</v>
      </c>
      <c r="C262" s="12">
        <v>85</v>
      </c>
      <c r="D262" s="12">
        <v>0</v>
      </c>
      <c r="E262" s="12">
        <v>239</v>
      </c>
      <c r="F262" s="31">
        <f t="shared" si="23"/>
        <v>0.35564853556485354</v>
      </c>
    </row>
    <row r="263" spans="1:6" x14ac:dyDescent="0.25">
      <c r="A263" s="8" t="s">
        <v>143</v>
      </c>
      <c r="B263" s="8" t="s">
        <v>288</v>
      </c>
      <c r="C263" s="44">
        <f>E263*1</f>
        <v>32</v>
      </c>
      <c r="D263" s="12">
        <v>0</v>
      </c>
      <c r="E263" s="12">
        <v>32</v>
      </c>
      <c r="F263" s="43">
        <v>1</v>
      </c>
    </row>
    <row r="264" spans="1:6" x14ac:dyDescent="0.25">
      <c r="A264" s="8" t="s">
        <v>143</v>
      </c>
      <c r="B264" s="8" t="s">
        <v>289</v>
      </c>
      <c r="C264" s="44">
        <f>E264*1</f>
        <v>15</v>
      </c>
      <c r="D264" s="12">
        <v>0</v>
      </c>
      <c r="E264" s="12">
        <v>15</v>
      </c>
      <c r="F264" s="43">
        <v>1</v>
      </c>
    </row>
    <row r="265" spans="1:6" x14ac:dyDescent="0.25">
      <c r="A265" s="8" t="s">
        <v>143</v>
      </c>
      <c r="B265" s="8" t="s">
        <v>148</v>
      </c>
      <c r="C265" s="12">
        <v>14</v>
      </c>
      <c r="D265" s="12">
        <v>0</v>
      </c>
      <c r="E265" s="12">
        <v>193</v>
      </c>
      <c r="F265" s="31">
        <f t="shared" ref="F265" si="24">(C265+D265)/E265</f>
        <v>7.2538860103626937E-2</v>
      </c>
    </row>
    <row r="266" spans="1:6" x14ac:dyDescent="0.25">
      <c r="A266" s="8" t="s">
        <v>143</v>
      </c>
      <c r="B266" s="8" t="s">
        <v>290</v>
      </c>
      <c r="C266" s="12">
        <v>2</v>
      </c>
      <c r="D266" s="12">
        <v>0</v>
      </c>
      <c r="E266" s="12">
        <v>14</v>
      </c>
      <c r="F266" s="31">
        <f>(C266+D266)/E266</f>
        <v>0.14285714285714285</v>
      </c>
    </row>
    <row r="267" spans="1:6" x14ac:dyDescent="0.25">
      <c r="A267" s="6" t="s">
        <v>400</v>
      </c>
      <c r="B267" s="38"/>
      <c r="C267" s="7">
        <f>SUM(C268:C276)</f>
        <v>367.50069999999999</v>
      </c>
      <c r="D267" s="7">
        <f>SUM(D268:D276)</f>
        <v>0</v>
      </c>
      <c r="E267" s="7">
        <f>SUM(E268:E276)</f>
        <v>384</v>
      </c>
      <c r="F267" s="41">
        <f t="shared" ref="F267" si="25">(C267+D267)/E267</f>
        <v>0.95703307291666662</v>
      </c>
    </row>
    <row r="268" spans="1:6" x14ac:dyDescent="0.25">
      <c r="A268" s="8" t="s">
        <v>149</v>
      </c>
      <c r="B268" s="8" t="s">
        <v>238</v>
      </c>
      <c r="C268" s="12">
        <f>E268*0.8156</f>
        <v>57.091999999999999</v>
      </c>
      <c r="D268" s="12">
        <v>0</v>
      </c>
      <c r="E268" s="12">
        <v>70</v>
      </c>
      <c r="F268" s="32">
        <v>0.81559999999999999</v>
      </c>
    </row>
    <row r="269" spans="1:6" x14ac:dyDescent="0.25">
      <c r="A269" s="8" t="s">
        <v>149</v>
      </c>
      <c r="B269" s="8" t="s">
        <v>239</v>
      </c>
      <c r="C269" s="12">
        <f>E269*0.9411</f>
        <v>53.642700000000005</v>
      </c>
      <c r="D269" s="12">
        <v>0</v>
      </c>
      <c r="E269" s="12">
        <v>57</v>
      </c>
      <c r="F269" s="32">
        <v>0.94110000000000005</v>
      </c>
    </row>
    <row r="270" spans="1:6" x14ac:dyDescent="0.25">
      <c r="A270" s="8" t="s">
        <v>149</v>
      </c>
      <c r="B270" s="8" t="s">
        <v>240</v>
      </c>
      <c r="C270" s="44">
        <f>E270*1</f>
        <v>26</v>
      </c>
      <c r="D270" s="12">
        <v>0</v>
      </c>
      <c r="E270" s="12">
        <v>26</v>
      </c>
      <c r="F270" s="43">
        <v>1</v>
      </c>
    </row>
    <row r="271" spans="1:6" x14ac:dyDescent="0.25">
      <c r="A271" s="8" t="s">
        <v>149</v>
      </c>
      <c r="B271" s="8" t="s">
        <v>241</v>
      </c>
      <c r="C271" s="44">
        <f>E271*1</f>
        <v>72</v>
      </c>
      <c r="D271" s="12">
        <v>0</v>
      </c>
      <c r="E271" s="12">
        <v>72</v>
      </c>
      <c r="F271" s="43">
        <v>1</v>
      </c>
    </row>
    <row r="272" spans="1:6" x14ac:dyDescent="0.25">
      <c r="A272" s="8" t="s">
        <v>149</v>
      </c>
      <c r="B272" s="8" t="s">
        <v>242</v>
      </c>
      <c r="C272" s="44">
        <f>E272*0.9844</f>
        <v>14.766</v>
      </c>
      <c r="D272" s="12">
        <v>0</v>
      </c>
      <c r="E272" s="12">
        <v>15</v>
      </c>
      <c r="F272" s="32">
        <v>0.98440000000000005</v>
      </c>
    </row>
    <row r="273" spans="1:9" x14ac:dyDescent="0.25">
      <c r="A273" s="8" t="s">
        <v>149</v>
      </c>
      <c r="B273" s="8" t="s">
        <v>401</v>
      </c>
      <c r="C273" s="44">
        <f t="shared" ref="C273:C276" si="26">E273*1</f>
        <v>15</v>
      </c>
      <c r="D273" s="12">
        <v>0</v>
      </c>
      <c r="E273" s="12">
        <v>15</v>
      </c>
      <c r="F273" s="43">
        <v>1</v>
      </c>
    </row>
    <row r="274" spans="1:9" x14ac:dyDescent="0.25">
      <c r="A274" s="8" t="s">
        <v>149</v>
      </c>
      <c r="B274" s="8" t="s">
        <v>243</v>
      </c>
      <c r="C274" s="44">
        <f t="shared" si="26"/>
        <v>24</v>
      </c>
      <c r="D274" s="12">
        <v>0</v>
      </c>
      <c r="E274" s="12">
        <v>24</v>
      </c>
      <c r="F274" s="43">
        <v>1</v>
      </c>
    </row>
    <row r="275" spans="1:9" x14ac:dyDescent="0.25">
      <c r="A275" s="8" t="s">
        <v>149</v>
      </c>
      <c r="B275" s="8" t="s">
        <v>244</v>
      </c>
      <c r="C275" s="44">
        <f t="shared" si="26"/>
        <v>63</v>
      </c>
      <c r="D275" s="12">
        <v>0</v>
      </c>
      <c r="E275" s="12">
        <v>63</v>
      </c>
      <c r="F275" s="43">
        <v>1</v>
      </c>
    </row>
    <row r="276" spans="1:9" x14ac:dyDescent="0.25">
      <c r="A276" s="8" t="s">
        <v>149</v>
      </c>
      <c r="B276" s="8" t="s">
        <v>245</v>
      </c>
      <c r="C276" s="44">
        <f t="shared" si="26"/>
        <v>42</v>
      </c>
      <c r="D276" s="12">
        <v>0</v>
      </c>
      <c r="E276" s="12">
        <v>42</v>
      </c>
      <c r="F276" s="43">
        <v>1</v>
      </c>
    </row>
    <row r="277" spans="1:9" x14ac:dyDescent="0.25">
      <c r="A277" s="6" t="s">
        <v>402</v>
      </c>
      <c r="B277" s="38"/>
      <c r="C277" s="7">
        <f>SUM(C278:C289)</f>
        <v>296.78660000000002</v>
      </c>
      <c r="D277" s="7">
        <f>SUM(D279:D289)</f>
        <v>0</v>
      </c>
      <c r="E277" s="7">
        <f>SUM(E279:E289)</f>
        <v>340</v>
      </c>
      <c r="F277" s="41">
        <f t="shared" ref="F277" si="27">(C277+D277)/E277</f>
        <v>0.87290176470588243</v>
      </c>
    </row>
    <row r="278" spans="1:9" x14ac:dyDescent="0.25">
      <c r="A278" s="18" t="s">
        <v>150</v>
      </c>
      <c r="B278" s="18" t="s">
        <v>291</v>
      </c>
      <c r="C278" s="44">
        <f>E278*1</f>
        <v>10</v>
      </c>
      <c r="D278" s="19">
        <v>0</v>
      </c>
      <c r="E278" s="19">
        <v>10</v>
      </c>
      <c r="F278" s="43">
        <v>1</v>
      </c>
    </row>
    <row r="279" spans="1:9" x14ac:dyDescent="0.25">
      <c r="A279" s="8" t="s">
        <v>150</v>
      </c>
      <c r="B279" s="8" t="s">
        <v>292</v>
      </c>
      <c r="C279" s="12">
        <f>E279*0.9846</f>
        <v>23.630400000000002</v>
      </c>
      <c r="D279" s="19">
        <v>0</v>
      </c>
      <c r="E279" s="12">
        <v>24</v>
      </c>
      <c r="F279" s="32">
        <v>0.98460000000000003</v>
      </c>
    </row>
    <row r="280" spans="1:9" x14ac:dyDescent="0.25">
      <c r="A280" s="8" t="s">
        <v>150</v>
      </c>
      <c r="B280" s="8" t="s">
        <v>293</v>
      </c>
      <c r="C280" s="12">
        <f>E280*0.9333</f>
        <v>14.9328</v>
      </c>
      <c r="D280" s="19">
        <v>0</v>
      </c>
      <c r="E280" s="12">
        <v>16</v>
      </c>
      <c r="F280" s="32">
        <v>0.93330000000000002</v>
      </c>
    </row>
    <row r="281" spans="1:9" x14ac:dyDescent="0.25">
      <c r="A281" s="8" t="s">
        <v>150</v>
      </c>
      <c r="B281" s="8" t="s">
        <v>294</v>
      </c>
      <c r="C281" s="12">
        <f>E281*0.8421</f>
        <v>19.368299999999998</v>
      </c>
      <c r="D281" s="19">
        <v>0</v>
      </c>
      <c r="E281" s="12">
        <v>23</v>
      </c>
      <c r="F281" s="32">
        <v>0.84209999999999996</v>
      </c>
    </row>
    <row r="282" spans="1:9" x14ac:dyDescent="0.25">
      <c r="A282" s="8" t="s">
        <v>150</v>
      </c>
      <c r="B282" s="8" t="s">
        <v>295</v>
      </c>
      <c r="C282" s="44">
        <f>E282*1</f>
        <v>41</v>
      </c>
      <c r="D282" s="19">
        <v>0</v>
      </c>
      <c r="E282" s="12">
        <v>41</v>
      </c>
      <c r="F282" s="43">
        <v>1</v>
      </c>
    </row>
    <row r="283" spans="1:9" x14ac:dyDescent="0.25">
      <c r="A283" s="8" t="s">
        <v>150</v>
      </c>
      <c r="B283" s="8" t="s">
        <v>296</v>
      </c>
      <c r="C283" s="44">
        <f t="shared" ref="C283:C286" si="28">E283*1</f>
        <v>9</v>
      </c>
      <c r="D283" s="19">
        <v>0</v>
      </c>
      <c r="E283" s="12">
        <v>9</v>
      </c>
      <c r="F283" s="43">
        <v>1</v>
      </c>
    </row>
    <row r="284" spans="1:9" s="20" customFormat="1" x14ac:dyDescent="0.25">
      <c r="A284" s="8" t="s">
        <v>150</v>
      </c>
      <c r="B284" s="8" t="s">
        <v>297</v>
      </c>
      <c r="C284" s="44">
        <f t="shared" si="28"/>
        <v>19</v>
      </c>
      <c r="D284" s="19">
        <v>0</v>
      </c>
      <c r="E284" s="12">
        <v>19</v>
      </c>
      <c r="F284" s="43">
        <v>1</v>
      </c>
      <c r="G284" s="21"/>
      <c r="I284" s="21"/>
    </row>
    <row r="285" spans="1:9" x14ac:dyDescent="0.25">
      <c r="A285" s="8" t="s">
        <v>150</v>
      </c>
      <c r="B285" s="8" t="s">
        <v>298</v>
      </c>
      <c r="C285" s="44">
        <f t="shared" si="28"/>
        <v>94</v>
      </c>
      <c r="D285" s="19">
        <v>0</v>
      </c>
      <c r="E285" s="12">
        <v>94</v>
      </c>
      <c r="F285" s="43">
        <v>1</v>
      </c>
    </row>
    <row r="286" spans="1:9" x14ac:dyDescent="0.25">
      <c r="A286" s="8" t="s">
        <v>150</v>
      </c>
      <c r="B286" s="8" t="s">
        <v>299</v>
      </c>
      <c r="C286" s="44">
        <f t="shared" si="28"/>
        <v>24</v>
      </c>
      <c r="D286" s="19">
        <v>0</v>
      </c>
      <c r="E286" s="12">
        <v>24</v>
      </c>
      <c r="F286" s="43">
        <v>1</v>
      </c>
    </row>
    <row r="287" spans="1:9" x14ac:dyDescent="0.25">
      <c r="A287" s="8" t="s">
        <v>150</v>
      </c>
      <c r="B287" s="8" t="s">
        <v>300</v>
      </c>
      <c r="C287" s="12">
        <f>E287*0.923</f>
        <v>19.383000000000003</v>
      </c>
      <c r="D287" s="19">
        <v>0</v>
      </c>
      <c r="E287" s="12">
        <v>21</v>
      </c>
      <c r="F287" s="32">
        <v>0.92300000000000004</v>
      </c>
    </row>
    <row r="288" spans="1:9" x14ac:dyDescent="0.25">
      <c r="A288" s="8" t="s">
        <v>150</v>
      </c>
      <c r="B288" s="8" t="s">
        <v>301</v>
      </c>
      <c r="C288" s="12">
        <f>E288*0.4923</f>
        <v>7.3845000000000001</v>
      </c>
      <c r="D288" s="19">
        <v>0</v>
      </c>
      <c r="E288" s="12">
        <v>15</v>
      </c>
      <c r="F288" s="32">
        <v>0.49230000000000002</v>
      </c>
    </row>
    <row r="289" spans="1:6" x14ac:dyDescent="0.25">
      <c r="A289" s="8" t="s">
        <v>150</v>
      </c>
      <c r="B289" s="8" t="s">
        <v>302</v>
      </c>
      <c r="C289" s="12">
        <f>E289*0.2794</f>
        <v>15.087599999999998</v>
      </c>
      <c r="D289" s="19">
        <v>0</v>
      </c>
      <c r="E289" s="12">
        <v>54</v>
      </c>
      <c r="F289" s="32">
        <v>0.27939999999999998</v>
      </c>
    </row>
    <row r="290" spans="1:6" x14ac:dyDescent="0.25">
      <c r="A290" s="6" t="s">
        <v>403</v>
      </c>
      <c r="B290" s="38"/>
      <c r="C290" s="7">
        <f>SUM(C291:C318)</f>
        <v>3581.3914999999997</v>
      </c>
      <c r="D290" s="7">
        <f>SUM(D291:D318)</f>
        <v>0</v>
      </c>
      <c r="E290" s="7">
        <f>SUM(E291:E318)</f>
        <v>3949</v>
      </c>
      <c r="F290" s="41">
        <f t="shared" ref="F290" si="29">(C290+D290)/E290</f>
        <v>0.90691099012408194</v>
      </c>
    </row>
    <row r="291" spans="1:6" x14ac:dyDescent="0.25">
      <c r="A291" s="8" t="s">
        <v>151</v>
      </c>
      <c r="B291" s="8" t="s">
        <v>404</v>
      </c>
      <c r="C291" s="44">
        <f>E291*1</f>
        <v>89</v>
      </c>
      <c r="D291" s="12">
        <v>0</v>
      </c>
      <c r="E291" s="12">
        <v>89</v>
      </c>
      <c r="F291" s="43">
        <v>1</v>
      </c>
    </row>
    <row r="292" spans="1:6" x14ac:dyDescent="0.25">
      <c r="A292" s="8" t="s">
        <v>151</v>
      </c>
      <c r="B292" s="8" t="s">
        <v>405</v>
      </c>
      <c r="C292" s="44">
        <f t="shared" ref="C292:C318" si="30">E292*1</f>
        <v>117</v>
      </c>
      <c r="D292" s="12">
        <v>0</v>
      </c>
      <c r="E292" s="12">
        <v>117</v>
      </c>
      <c r="F292" s="43">
        <v>1</v>
      </c>
    </row>
    <row r="293" spans="1:6" x14ac:dyDescent="0.25">
      <c r="A293" s="8" t="s">
        <v>151</v>
      </c>
      <c r="B293" s="8" t="s">
        <v>406</v>
      </c>
      <c r="C293" s="44">
        <f t="shared" si="30"/>
        <v>185</v>
      </c>
      <c r="D293" s="12">
        <v>0</v>
      </c>
      <c r="E293" s="12">
        <v>185</v>
      </c>
      <c r="F293" s="43">
        <v>1</v>
      </c>
    </row>
    <row r="294" spans="1:6" x14ac:dyDescent="0.25">
      <c r="A294" s="8" t="s">
        <v>151</v>
      </c>
      <c r="B294" s="8" t="s">
        <v>407</v>
      </c>
      <c r="C294" s="44">
        <f>E294*0.4838</f>
        <v>72.570000000000007</v>
      </c>
      <c r="D294" s="12">
        <v>0</v>
      </c>
      <c r="E294" s="12">
        <v>150</v>
      </c>
      <c r="F294" s="32">
        <v>0.48380000000000001</v>
      </c>
    </row>
    <row r="295" spans="1:6" x14ac:dyDescent="0.25">
      <c r="A295" s="8" t="s">
        <v>151</v>
      </c>
      <c r="B295" s="8" t="s">
        <v>408</v>
      </c>
      <c r="C295" s="44">
        <f t="shared" si="30"/>
        <v>59</v>
      </c>
      <c r="D295" s="12">
        <v>0</v>
      </c>
      <c r="E295" s="12">
        <v>59</v>
      </c>
      <c r="F295" s="43">
        <v>1</v>
      </c>
    </row>
    <row r="296" spans="1:6" x14ac:dyDescent="0.25">
      <c r="A296" s="8" t="s">
        <v>151</v>
      </c>
      <c r="B296" s="8" t="s">
        <v>409</v>
      </c>
      <c r="C296" s="44">
        <f>E296*0.7254</f>
        <v>341.66340000000002</v>
      </c>
      <c r="D296" s="12">
        <v>0</v>
      </c>
      <c r="E296" s="12">
        <v>471</v>
      </c>
      <c r="F296" s="32">
        <v>0.72540000000000004</v>
      </c>
    </row>
    <row r="297" spans="1:6" x14ac:dyDescent="0.25">
      <c r="A297" s="8" t="s">
        <v>151</v>
      </c>
      <c r="B297" s="8" t="s">
        <v>410</v>
      </c>
      <c r="C297" s="44">
        <f t="shared" si="30"/>
        <v>149</v>
      </c>
      <c r="D297" s="12">
        <v>0</v>
      </c>
      <c r="E297" s="12">
        <v>149</v>
      </c>
      <c r="F297" s="43">
        <v>1</v>
      </c>
    </row>
    <row r="298" spans="1:6" x14ac:dyDescent="0.25">
      <c r="A298" s="8" t="s">
        <v>151</v>
      </c>
      <c r="B298" s="8" t="s">
        <v>411</v>
      </c>
      <c r="C298" s="44">
        <f t="shared" si="30"/>
        <v>210</v>
      </c>
      <c r="D298" s="12">
        <v>0</v>
      </c>
      <c r="E298" s="12">
        <v>210</v>
      </c>
      <c r="F298" s="43">
        <v>1</v>
      </c>
    </row>
    <row r="299" spans="1:6" x14ac:dyDescent="0.25">
      <c r="A299" s="8" t="s">
        <v>151</v>
      </c>
      <c r="B299" s="8" t="s">
        <v>412</v>
      </c>
      <c r="C299" s="44">
        <f t="shared" si="30"/>
        <v>182</v>
      </c>
      <c r="D299" s="12">
        <v>0</v>
      </c>
      <c r="E299" s="12">
        <v>182</v>
      </c>
      <c r="F299" s="43">
        <v>1</v>
      </c>
    </row>
    <row r="300" spans="1:6" x14ac:dyDescent="0.25">
      <c r="A300" s="8" t="s">
        <v>151</v>
      </c>
      <c r="B300" s="8" t="s">
        <v>413</v>
      </c>
      <c r="C300" s="44">
        <f t="shared" si="30"/>
        <v>109</v>
      </c>
      <c r="D300" s="12">
        <v>0</v>
      </c>
      <c r="E300" s="12">
        <v>109</v>
      </c>
      <c r="F300" s="43">
        <v>1</v>
      </c>
    </row>
    <row r="301" spans="1:6" x14ac:dyDescent="0.25">
      <c r="A301" s="8" t="s">
        <v>151</v>
      </c>
      <c r="B301" s="8" t="s">
        <v>414</v>
      </c>
      <c r="C301" s="44">
        <f>E301*0.7628</f>
        <v>243.33320000000001</v>
      </c>
      <c r="D301" s="12">
        <v>0</v>
      </c>
      <c r="E301" s="12">
        <v>319</v>
      </c>
      <c r="F301" s="32">
        <v>0.76280000000000003</v>
      </c>
    </row>
    <row r="302" spans="1:6" x14ac:dyDescent="0.25">
      <c r="A302" s="8" t="s">
        <v>151</v>
      </c>
      <c r="B302" s="8" t="s">
        <v>415</v>
      </c>
      <c r="C302" s="44">
        <f t="shared" si="30"/>
        <v>96</v>
      </c>
      <c r="D302" s="12">
        <v>0</v>
      </c>
      <c r="E302" s="12">
        <v>96</v>
      </c>
      <c r="F302" s="43">
        <v>1</v>
      </c>
    </row>
    <row r="303" spans="1:6" x14ac:dyDescent="0.25">
      <c r="A303" s="8" t="s">
        <v>151</v>
      </c>
      <c r="B303" s="8" t="s">
        <v>416</v>
      </c>
      <c r="C303" s="44">
        <f t="shared" si="30"/>
        <v>250</v>
      </c>
      <c r="D303" s="12">
        <v>0</v>
      </c>
      <c r="E303" s="12">
        <v>250</v>
      </c>
      <c r="F303" s="43">
        <v>1</v>
      </c>
    </row>
    <row r="304" spans="1:6" x14ac:dyDescent="0.25">
      <c r="A304" s="8" t="s">
        <v>151</v>
      </c>
      <c r="B304" s="8" t="s">
        <v>417</v>
      </c>
      <c r="C304" s="44">
        <f t="shared" si="30"/>
        <v>199</v>
      </c>
      <c r="D304" s="12">
        <v>0</v>
      </c>
      <c r="E304" s="12">
        <v>199</v>
      </c>
      <c r="F304" s="43">
        <v>1</v>
      </c>
    </row>
    <row r="305" spans="1:6" x14ac:dyDescent="0.25">
      <c r="A305" s="8" t="s">
        <v>151</v>
      </c>
      <c r="B305" s="8" t="s">
        <v>332</v>
      </c>
      <c r="C305" s="44">
        <f>E305*0.9904</f>
        <v>31.692799999999998</v>
      </c>
      <c r="D305" s="12">
        <v>0</v>
      </c>
      <c r="E305" s="12">
        <v>32</v>
      </c>
      <c r="F305" s="32">
        <v>0.99039999999999995</v>
      </c>
    </row>
    <row r="306" spans="1:6" x14ac:dyDescent="0.25">
      <c r="A306" s="8" t="s">
        <v>151</v>
      </c>
      <c r="B306" s="8" t="s">
        <v>418</v>
      </c>
      <c r="C306" s="44">
        <f>E306*0.9142</f>
        <v>31.082799999999999</v>
      </c>
      <c r="D306" s="12">
        <v>0</v>
      </c>
      <c r="E306" s="12">
        <v>34</v>
      </c>
      <c r="F306" s="32">
        <v>0.91420000000000001</v>
      </c>
    </row>
    <row r="307" spans="1:6" x14ac:dyDescent="0.25">
      <c r="A307" s="8" t="s">
        <v>151</v>
      </c>
      <c r="B307" s="8" t="s">
        <v>419</v>
      </c>
      <c r="C307" s="44">
        <f t="shared" si="30"/>
        <v>128</v>
      </c>
      <c r="D307" s="12">
        <v>0</v>
      </c>
      <c r="E307" s="12">
        <v>128</v>
      </c>
      <c r="F307" s="43">
        <v>1</v>
      </c>
    </row>
    <row r="308" spans="1:6" x14ac:dyDescent="0.25">
      <c r="A308" s="8" t="s">
        <v>151</v>
      </c>
      <c r="B308" s="8" t="s">
        <v>420</v>
      </c>
      <c r="C308" s="44">
        <f t="shared" si="30"/>
        <v>144</v>
      </c>
      <c r="D308" s="12">
        <v>0</v>
      </c>
      <c r="E308" s="12">
        <v>144</v>
      </c>
      <c r="F308" s="43">
        <v>1</v>
      </c>
    </row>
    <row r="309" spans="1:6" x14ac:dyDescent="0.25">
      <c r="A309" s="8" t="s">
        <v>151</v>
      </c>
      <c r="B309" s="8" t="s">
        <v>421</v>
      </c>
      <c r="C309" s="44">
        <f>E309*0.7339</f>
        <v>217.23439999999999</v>
      </c>
      <c r="D309" s="12">
        <v>0</v>
      </c>
      <c r="E309" s="12">
        <v>296</v>
      </c>
      <c r="F309" s="32">
        <v>0.7339</v>
      </c>
    </row>
    <row r="310" spans="1:6" x14ac:dyDescent="0.25">
      <c r="A310" s="8" t="s">
        <v>151</v>
      </c>
      <c r="B310" s="8" t="s">
        <v>422</v>
      </c>
      <c r="C310" s="44">
        <f t="shared" si="30"/>
        <v>91</v>
      </c>
      <c r="D310" s="12">
        <v>0</v>
      </c>
      <c r="E310" s="12">
        <v>91</v>
      </c>
      <c r="F310" s="43">
        <v>1</v>
      </c>
    </row>
    <row r="311" spans="1:6" x14ac:dyDescent="0.25">
      <c r="A311" s="8" t="s">
        <v>151</v>
      </c>
      <c r="B311" s="8" t="s">
        <v>423</v>
      </c>
      <c r="C311" s="44">
        <f t="shared" si="30"/>
        <v>172</v>
      </c>
      <c r="D311" s="12">
        <v>0</v>
      </c>
      <c r="E311" s="12">
        <v>172</v>
      </c>
      <c r="F311" s="43">
        <v>1</v>
      </c>
    </row>
    <row r="312" spans="1:6" x14ac:dyDescent="0.25">
      <c r="A312" s="8" t="s">
        <v>151</v>
      </c>
      <c r="B312" s="8" t="s">
        <v>424</v>
      </c>
      <c r="C312" s="44">
        <f t="shared" si="30"/>
        <v>41</v>
      </c>
      <c r="D312" s="12">
        <v>0</v>
      </c>
      <c r="E312" s="12">
        <v>41</v>
      </c>
      <c r="F312" s="43">
        <v>1</v>
      </c>
    </row>
    <row r="313" spans="1:6" x14ac:dyDescent="0.25">
      <c r="A313" s="8" t="s">
        <v>151</v>
      </c>
      <c r="B313" s="8" t="s">
        <v>425</v>
      </c>
      <c r="C313" s="44">
        <f>E313*0.9929</f>
        <v>116.16930000000001</v>
      </c>
      <c r="D313" s="12">
        <v>0</v>
      </c>
      <c r="E313" s="12">
        <v>117</v>
      </c>
      <c r="F313" s="32">
        <v>0.9929</v>
      </c>
    </row>
    <row r="314" spans="1:6" x14ac:dyDescent="0.25">
      <c r="A314" s="8" t="s">
        <v>151</v>
      </c>
      <c r="B314" s="8" t="s">
        <v>426</v>
      </c>
      <c r="C314" s="44">
        <f>E314*0.7384</f>
        <v>6.6456</v>
      </c>
      <c r="D314" s="12">
        <v>0</v>
      </c>
      <c r="E314" s="12">
        <v>9</v>
      </c>
      <c r="F314" s="32">
        <v>0.73839999999999995</v>
      </c>
    </row>
    <row r="315" spans="1:6" x14ac:dyDescent="0.25">
      <c r="A315" s="8" t="s">
        <v>151</v>
      </c>
      <c r="B315" s="8" t="s">
        <v>427</v>
      </c>
      <c r="C315" s="44">
        <f t="shared" si="30"/>
        <v>19</v>
      </c>
      <c r="D315" s="12">
        <v>0</v>
      </c>
      <c r="E315" s="12">
        <v>19</v>
      </c>
      <c r="F315" s="43">
        <v>1</v>
      </c>
    </row>
    <row r="316" spans="1:6" x14ac:dyDescent="0.25">
      <c r="A316" s="8" t="s">
        <v>151</v>
      </c>
      <c r="B316" s="8" t="s">
        <v>428</v>
      </c>
      <c r="C316" s="44">
        <f t="shared" si="30"/>
        <v>64</v>
      </c>
      <c r="D316" s="12">
        <v>0</v>
      </c>
      <c r="E316" s="12">
        <v>64</v>
      </c>
      <c r="F316" s="43">
        <v>1</v>
      </c>
    </row>
    <row r="317" spans="1:6" x14ac:dyDescent="0.25">
      <c r="A317" s="8" t="s">
        <v>151</v>
      </c>
      <c r="B317" s="8" t="s">
        <v>429</v>
      </c>
      <c r="C317" s="44">
        <f t="shared" si="30"/>
        <v>89</v>
      </c>
      <c r="D317" s="12">
        <v>0</v>
      </c>
      <c r="E317" s="12">
        <v>89</v>
      </c>
      <c r="F317" s="43">
        <v>1</v>
      </c>
    </row>
    <row r="318" spans="1:6" x14ac:dyDescent="0.25">
      <c r="A318" s="8" t="s">
        <v>151</v>
      </c>
      <c r="B318" s="8" t="s">
        <v>430</v>
      </c>
      <c r="C318" s="44">
        <f t="shared" si="30"/>
        <v>128</v>
      </c>
      <c r="D318" s="12">
        <v>0</v>
      </c>
      <c r="E318" s="12">
        <v>128</v>
      </c>
      <c r="F318" s="43">
        <v>1</v>
      </c>
    </row>
    <row r="319" spans="1:6" x14ac:dyDescent="0.25">
      <c r="A319" s="6" t="s">
        <v>431</v>
      </c>
      <c r="B319" s="38"/>
      <c r="C319" s="7">
        <f>SUM(C320:C329)</f>
        <v>1922.0338999999999</v>
      </c>
      <c r="D319" s="7">
        <f>SUM(D320:D329)</f>
        <v>0</v>
      </c>
      <c r="E319" s="7">
        <f>SUM(E320:E329)</f>
        <v>1931</v>
      </c>
      <c r="F319" s="51">
        <f t="shared" ref="F319" si="31">(C319+D319)/E319</f>
        <v>0.99535675815639557</v>
      </c>
    </row>
    <row r="320" spans="1:6" x14ac:dyDescent="0.25">
      <c r="A320" s="8" t="s">
        <v>152</v>
      </c>
      <c r="B320" s="8" t="s">
        <v>308</v>
      </c>
      <c r="C320" s="44">
        <f>E320*1</f>
        <v>225</v>
      </c>
      <c r="D320" s="12">
        <v>0</v>
      </c>
      <c r="E320" s="12">
        <v>225</v>
      </c>
      <c r="F320" s="43">
        <v>1</v>
      </c>
    </row>
    <row r="321" spans="1:6" x14ac:dyDescent="0.25">
      <c r="A321" s="8" t="s">
        <v>152</v>
      </c>
      <c r="B321" s="8" t="s">
        <v>309</v>
      </c>
      <c r="C321" s="44">
        <f>E321*0.9571</f>
        <v>200.03389999999999</v>
      </c>
      <c r="D321" s="12">
        <v>0</v>
      </c>
      <c r="E321" s="12">
        <v>209</v>
      </c>
      <c r="F321" s="32">
        <v>0.95709999999999995</v>
      </c>
    </row>
    <row r="322" spans="1:6" x14ac:dyDescent="0.25">
      <c r="A322" s="8" t="s">
        <v>152</v>
      </c>
      <c r="B322" s="8" t="s">
        <v>310</v>
      </c>
      <c r="C322" s="44">
        <f t="shared" ref="C322:C330" si="32">E322*1</f>
        <v>446</v>
      </c>
      <c r="D322" s="12">
        <v>0</v>
      </c>
      <c r="E322" s="12">
        <v>446</v>
      </c>
      <c r="F322" s="43">
        <v>1</v>
      </c>
    </row>
    <row r="323" spans="1:6" x14ac:dyDescent="0.25">
      <c r="A323" s="8" t="s">
        <v>152</v>
      </c>
      <c r="B323" s="8" t="s">
        <v>311</v>
      </c>
      <c r="C323" s="44">
        <f t="shared" si="32"/>
        <v>149</v>
      </c>
      <c r="D323" s="12">
        <v>0</v>
      </c>
      <c r="E323" s="12">
        <v>149</v>
      </c>
      <c r="F323" s="43">
        <v>1</v>
      </c>
    </row>
    <row r="324" spans="1:6" x14ac:dyDescent="0.25">
      <c r="A324" s="8" t="s">
        <v>152</v>
      </c>
      <c r="B324" s="8" t="s">
        <v>312</v>
      </c>
      <c r="C324" s="44">
        <f t="shared" si="32"/>
        <v>120</v>
      </c>
      <c r="D324" s="12">
        <v>0</v>
      </c>
      <c r="E324" s="12">
        <v>120</v>
      </c>
      <c r="F324" s="43">
        <v>1</v>
      </c>
    </row>
    <row r="325" spans="1:6" x14ac:dyDescent="0.25">
      <c r="A325" s="8" t="s">
        <v>152</v>
      </c>
      <c r="B325" s="8" t="s">
        <v>313</v>
      </c>
      <c r="C325" s="44">
        <f t="shared" si="32"/>
        <v>179</v>
      </c>
      <c r="D325" s="12">
        <v>0</v>
      </c>
      <c r="E325" s="12">
        <v>179</v>
      </c>
      <c r="F325" s="43">
        <v>1</v>
      </c>
    </row>
    <row r="326" spans="1:6" x14ac:dyDescent="0.25">
      <c r="A326" s="8" t="s">
        <v>152</v>
      </c>
      <c r="B326" s="8" t="s">
        <v>314</v>
      </c>
      <c r="C326" s="44">
        <f t="shared" si="32"/>
        <v>194</v>
      </c>
      <c r="D326" s="12">
        <v>0</v>
      </c>
      <c r="E326" s="12">
        <v>194</v>
      </c>
      <c r="F326" s="43">
        <v>1</v>
      </c>
    </row>
    <row r="327" spans="1:6" x14ac:dyDescent="0.25">
      <c r="A327" s="8" t="s">
        <v>152</v>
      </c>
      <c r="B327" s="8" t="s">
        <v>315</v>
      </c>
      <c r="C327" s="44">
        <f t="shared" si="32"/>
        <v>116</v>
      </c>
      <c r="D327" s="12">
        <v>0</v>
      </c>
      <c r="E327" s="12">
        <v>116</v>
      </c>
      <c r="F327" s="43">
        <v>1</v>
      </c>
    </row>
    <row r="328" spans="1:6" x14ac:dyDescent="0.25">
      <c r="A328" s="8" t="s">
        <v>152</v>
      </c>
      <c r="B328" s="8" t="s">
        <v>316</v>
      </c>
      <c r="C328" s="44">
        <f t="shared" si="32"/>
        <v>235</v>
      </c>
      <c r="D328" s="12">
        <v>0</v>
      </c>
      <c r="E328" s="12">
        <v>235</v>
      </c>
      <c r="F328" s="43">
        <v>1</v>
      </c>
    </row>
    <row r="329" spans="1:6" x14ac:dyDescent="0.25">
      <c r="A329" s="8" t="s">
        <v>152</v>
      </c>
      <c r="B329" s="8" t="s">
        <v>317</v>
      </c>
      <c r="C329" s="44">
        <f t="shared" si="32"/>
        <v>58</v>
      </c>
      <c r="D329" s="12">
        <v>0</v>
      </c>
      <c r="E329" s="12">
        <v>58</v>
      </c>
      <c r="F329" s="43">
        <v>1</v>
      </c>
    </row>
    <row r="330" spans="1:6" x14ac:dyDescent="0.25">
      <c r="A330" s="8" t="s">
        <v>152</v>
      </c>
      <c r="B330" s="8" t="s">
        <v>432</v>
      </c>
      <c r="C330" s="44">
        <f t="shared" si="32"/>
        <v>44</v>
      </c>
      <c r="D330" s="12">
        <v>0</v>
      </c>
      <c r="E330" s="12">
        <v>44</v>
      </c>
      <c r="F330" s="43">
        <v>1</v>
      </c>
    </row>
    <row r="331" spans="1:6" x14ac:dyDescent="0.25">
      <c r="A331" s="6" t="s">
        <v>433</v>
      </c>
      <c r="B331" s="38"/>
      <c r="C331" s="7">
        <f>SUM(C332:C369)</f>
        <v>5795.8517000000002</v>
      </c>
      <c r="D331" s="7">
        <f t="shared" ref="D331:E331" si="33">SUM(D332:D369)</f>
        <v>508</v>
      </c>
      <c r="E331" s="7">
        <f t="shared" si="33"/>
        <v>15062</v>
      </c>
      <c r="F331" s="41">
        <f t="shared" ref="F331:F333" si="34">(C331+D331)/E331</f>
        <v>0.4185268689417076</v>
      </c>
    </row>
    <row r="332" spans="1:6" x14ac:dyDescent="0.25">
      <c r="A332" s="8" t="s">
        <v>153</v>
      </c>
      <c r="B332" s="18" t="s">
        <v>434</v>
      </c>
      <c r="C332" s="19">
        <v>44</v>
      </c>
      <c r="D332" s="19">
        <v>2</v>
      </c>
      <c r="E332" s="19">
        <v>187</v>
      </c>
      <c r="F332" s="31">
        <f t="shared" si="34"/>
        <v>0.24598930481283424</v>
      </c>
    </row>
    <row r="333" spans="1:6" x14ac:dyDescent="0.25">
      <c r="A333" s="8" t="s">
        <v>153</v>
      </c>
      <c r="B333" s="18" t="s">
        <v>435</v>
      </c>
      <c r="C333" s="19">
        <v>14</v>
      </c>
      <c r="D333" s="19">
        <v>0</v>
      </c>
      <c r="E333" s="19">
        <v>30</v>
      </c>
      <c r="F333" s="31">
        <f t="shared" si="34"/>
        <v>0.46666666666666667</v>
      </c>
    </row>
    <row r="334" spans="1:6" x14ac:dyDescent="0.25">
      <c r="A334" s="8" t="s">
        <v>153</v>
      </c>
      <c r="B334" s="8" t="s">
        <v>333</v>
      </c>
      <c r="C334" s="44">
        <f>E334*0.7595</f>
        <v>257.47049999999996</v>
      </c>
      <c r="D334" s="19">
        <v>0</v>
      </c>
      <c r="E334" s="42">
        <v>339</v>
      </c>
      <c r="F334" s="31">
        <v>0.75949999999999995</v>
      </c>
    </row>
    <row r="335" spans="1:6" x14ac:dyDescent="0.25">
      <c r="A335" s="8" t="s">
        <v>153</v>
      </c>
      <c r="B335" s="8" t="s">
        <v>334</v>
      </c>
      <c r="C335" s="44">
        <f>E335*0.9107</f>
        <v>214.92519999999999</v>
      </c>
      <c r="D335" s="19">
        <v>0</v>
      </c>
      <c r="E335" s="42">
        <v>236</v>
      </c>
      <c r="F335" s="31">
        <v>0.91069999999999995</v>
      </c>
    </row>
    <row r="336" spans="1:6" x14ac:dyDescent="0.25">
      <c r="A336" s="8" t="s">
        <v>153</v>
      </c>
      <c r="B336" s="8" t="s">
        <v>154</v>
      </c>
      <c r="C336" s="42">
        <v>80</v>
      </c>
      <c r="D336" s="19">
        <v>22</v>
      </c>
      <c r="E336" s="42">
        <v>271</v>
      </c>
      <c r="F336" s="31">
        <f t="shared" ref="F336:F351" si="35">(C336+D336)/E336</f>
        <v>0.37638376383763839</v>
      </c>
    </row>
    <row r="337" spans="1:6" x14ac:dyDescent="0.25">
      <c r="A337" s="8" t="s">
        <v>153</v>
      </c>
      <c r="B337" s="8" t="s">
        <v>155</v>
      </c>
      <c r="C337" s="42">
        <v>265</v>
      </c>
      <c r="D337" s="19">
        <v>37</v>
      </c>
      <c r="E337" s="48">
        <v>1142</v>
      </c>
      <c r="F337" s="31">
        <f t="shared" si="35"/>
        <v>0.26444833625218916</v>
      </c>
    </row>
    <row r="338" spans="1:6" x14ac:dyDescent="0.25">
      <c r="A338" s="8" t="s">
        <v>153</v>
      </c>
      <c r="B338" s="8" t="s">
        <v>156</v>
      </c>
      <c r="C338" s="42">
        <v>168</v>
      </c>
      <c r="D338" s="19">
        <v>30</v>
      </c>
      <c r="E338" s="42">
        <v>699</v>
      </c>
      <c r="F338" s="31">
        <f t="shared" si="35"/>
        <v>0.2832618025751073</v>
      </c>
    </row>
    <row r="339" spans="1:6" x14ac:dyDescent="0.25">
      <c r="A339" s="8" t="s">
        <v>153</v>
      </c>
      <c r="B339" s="8" t="s">
        <v>157</v>
      </c>
      <c r="C339" s="42">
        <v>113</v>
      </c>
      <c r="D339" s="19">
        <v>29</v>
      </c>
      <c r="E339" s="42">
        <v>431</v>
      </c>
      <c r="F339" s="31">
        <f t="shared" si="35"/>
        <v>0.3294663573085847</v>
      </c>
    </row>
    <row r="340" spans="1:6" x14ac:dyDescent="0.25">
      <c r="A340" s="8" t="s">
        <v>153</v>
      </c>
      <c r="B340" s="8" t="s">
        <v>436</v>
      </c>
      <c r="C340" s="44">
        <f>E340*0.7345</f>
        <v>284.25150000000002</v>
      </c>
      <c r="D340" s="19">
        <v>0</v>
      </c>
      <c r="E340" s="42">
        <v>387</v>
      </c>
      <c r="F340" s="31">
        <v>0.73450000000000004</v>
      </c>
    </row>
    <row r="341" spans="1:6" x14ac:dyDescent="0.25">
      <c r="A341" s="8" t="s">
        <v>153</v>
      </c>
      <c r="B341" s="8" t="s">
        <v>158</v>
      </c>
      <c r="C341" s="42">
        <v>108</v>
      </c>
      <c r="D341" s="19">
        <v>12</v>
      </c>
      <c r="E341" s="42">
        <v>425</v>
      </c>
      <c r="F341" s="31">
        <f t="shared" si="35"/>
        <v>0.28235294117647058</v>
      </c>
    </row>
    <row r="342" spans="1:6" x14ac:dyDescent="0.25">
      <c r="A342" s="8" t="s">
        <v>153</v>
      </c>
      <c r="B342" s="8" t="s">
        <v>159</v>
      </c>
      <c r="C342" s="42">
        <v>64</v>
      </c>
      <c r="D342" s="19">
        <v>14</v>
      </c>
      <c r="E342" s="42">
        <v>456</v>
      </c>
      <c r="F342" s="31">
        <f t="shared" si="35"/>
        <v>0.17105263157894737</v>
      </c>
    </row>
    <row r="343" spans="1:6" x14ac:dyDescent="0.25">
      <c r="A343" s="8" t="s">
        <v>153</v>
      </c>
      <c r="B343" s="8" t="s">
        <v>160</v>
      </c>
      <c r="C343" s="42">
        <v>10</v>
      </c>
      <c r="D343" s="19">
        <v>3</v>
      </c>
      <c r="E343" s="42">
        <v>34</v>
      </c>
      <c r="F343" s="31">
        <f t="shared" si="35"/>
        <v>0.38235294117647056</v>
      </c>
    </row>
    <row r="344" spans="1:6" x14ac:dyDescent="0.25">
      <c r="A344" s="8" t="s">
        <v>153</v>
      </c>
      <c r="B344" s="8" t="s">
        <v>161</v>
      </c>
      <c r="C344" s="42">
        <v>100</v>
      </c>
      <c r="D344" s="19">
        <v>30</v>
      </c>
      <c r="E344" s="42">
        <v>342</v>
      </c>
      <c r="F344" s="31">
        <f t="shared" si="35"/>
        <v>0.38011695906432746</v>
      </c>
    </row>
    <row r="345" spans="1:6" x14ac:dyDescent="0.25">
      <c r="A345" s="8" t="s">
        <v>153</v>
      </c>
      <c r="B345" s="8" t="s">
        <v>335</v>
      </c>
      <c r="C345" s="52">
        <f>E345*0.6891</f>
        <v>472.72260000000006</v>
      </c>
      <c r="D345" s="19">
        <v>0</v>
      </c>
      <c r="E345" s="53">
        <v>686</v>
      </c>
      <c r="F345" s="31">
        <v>0.68910000000000005</v>
      </c>
    </row>
    <row r="346" spans="1:6" x14ac:dyDescent="0.25">
      <c r="A346" s="8" t="s">
        <v>153</v>
      </c>
      <c r="B346" s="8" t="s">
        <v>303</v>
      </c>
      <c r="C346" s="44">
        <f>E346*0.7089</f>
        <v>265.12860000000001</v>
      </c>
      <c r="D346" s="19">
        <v>0</v>
      </c>
      <c r="E346" s="42">
        <v>374</v>
      </c>
      <c r="F346" s="31">
        <v>0.70889999999999997</v>
      </c>
    </row>
    <row r="347" spans="1:6" x14ac:dyDescent="0.25">
      <c r="A347" s="8" t="s">
        <v>153</v>
      </c>
      <c r="B347" s="8" t="s">
        <v>162</v>
      </c>
      <c r="C347" s="42">
        <v>147</v>
      </c>
      <c r="D347" s="19">
        <v>32</v>
      </c>
      <c r="E347" s="42">
        <v>542</v>
      </c>
      <c r="F347" s="31">
        <f t="shared" si="35"/>
        <v>0.33025830258302585</v>
      </c>
    </row>
    <row r="348" spans="1:6" x14ac:dyDescent="0.25">
      <c r="A348" s="8" t="s">
        <v>153</v>
      </c>
      <c r="B348" s="8" t="s">
        <v>163</v>
      </c>
      <c r="C348" s="42">
        <v>93</v>
      </c>
      <c r="D348" s="19">
        <v>10</v>
      </c>
      <c r="E348" s="42">
        <v>265</v>
      </c>
      <c r="F348" s="31">
        <f t="shared" si="35"/>
        <v>0.38867924528301889</v>
      </c>
    </row>
    <row r="349" spans="1:6" x14ac:dyDescent="0.25">
      <c r="A349" s="8" t="s">
        <v>153</v>
      </c>
      <c r="B349" s="8" t="s">
        <v>164</v>
      </c>
      <c r="C349" s="42">
        <v>125</v>
      </c>
      <c r="D349" s="19">
        <v>16</v>
      </c>
      <c r="E349" s="42">
        <v>382</v>
      </c>
      <c r="F349" s="31">
        <f t="shared" si="35"/>
        <v>0.36910994764397903</v>
      </c>
    </row>
    <row r="350" spans="1:6" x14ac:dyDescent="0.25">
      <c r="A350" s="8" t="s">
        <v>153</v>
      </c>
      <c r="B350" s="8" t="s">
        <v>165</v>
      </c>
      <c r="C350" s="42">
        <v>123</v>
      </c>
      <c r="D350" s="19">
        <v>18</v>
      </c>
      <c r="E350" s="42">
        <v>751</v>
      </c>
      <c r="F350" s="31">
        <f t="shared" si="35"/>
        <v>0.1877496671105193</v>
      </c>
    </row>
    <row r="351" spans="1:6" x14ac:dyDescent="0.25">
      <c r="A351" s="8" t="s">
        <v>153</v>
      </c>
      <c r="B351" s="8" t="s">
        <v>320</v>
      </c>
      <c r="C351" s="44">
        <v>23</v>
      </c>
      <c r="D351" s="19">
        <v>0</v>
      </c>
      <c r="E351" s="42">
        <v>73</v>
      </c>
      <c r="F351" s="31">
        <f t="shared" si="35"/>
        <v>0.31506849315068491</v>
      </c>
    </row>
    <row r="352" spans="1:6" x14ac:dyDescent="0.25">
      <c r="A352" s="8" t="s">
        <v>153</v>
      </c>
      <c r="B352" s="8" t="s">
        <v>304</v>
      </c>
      <c r="C352" s="44">
        <f>E352*0.7236</f>
        <v>198.99</v>
      </c>
      <c r="D352" s="19">
        <v>0</v>
      </c>
      <c r="E352" s="42">
        <v>275</v>
      </c>
      <c r="F352" s="31">
        <v>0.72360000000000002</v>
      </c>
    </row>
    <row r="353" spans="1:6" x14ac:dyDescent="0.25">
      <c r="A353" s="8" t="s">
        <v>153</v>
      </c>
      <c r="B353" s="8" t="s">
        <v>166</v>
      </c>
      <c r="C353" s="42">
        <v>190</v>
      </c>
      <c r="D353" s="19">
        <v>42</v>
      </c>
      <c r="E353" s="42">
        <v>789</v>
      </c>
      <c r="F353" s="31">
        <f t="shared" ref="F353:F370" si="36">(C353+D353)/E353</f>
        <v>0.29404309252217997</v>
      </c>
    </row>
    <row r="354" spans="1:6" x14ac:dyDescent="0.25">
      <c r="A354" s="8" t="s">
        <v>153</v>
      </c>
      <c r="B354" s="8" t="s">
        <v>167</v>
      </c>
      <c r="C354" s="42">
        <v>197</v>
      </c>
      <c r="D354" s="19">
        <v>22</v>
      </c>
      <c r="E354" s="42">
        <v>555</v>
      </c>
      <c r="F354" s="31">
        <f t="shared" si="36"/>
        <v>0.39459459459459462</v>
      </c>
    </row>
    <row r="355" spans="1:6" x14ac:dyDescent="0.25">
      <c r="A355" s="8" t="s">
        <v>153</v>
      </c>
      <c r="B355" s="8" t="s">
        <v>168</v>
      </c>
      <c r="C355" s="42">
        <v>127</v>
      </c>
      <c r="D355" s="19">
        <v>14</v>
      </c>
      <c r="E355" s="42">
        <v>511</v>
      </c>
      <c r="F355" s="31">
        <f t="shared" si="36"/>
        <v>0.27592954990215263</v>
      </c>
    </row>
    <row r="356" spans="1:6" x14ac:dyDescent="0.25">
      <c r="A356" s="8" t="s">
        <v>153</v>
      </c>
      <c r="B356" s="8" t="s">
        <v>340</v>
      </c>
      <c r="C356" s="44">
        <f>E356*0.6729</f>
        <v>383.55300000000005</v>
      </c>
      <c r="D356" s="19">
        <v>0</v>
      </c>
      <c r="E356" s="42">
        <v>570</v>
      </c>
      <c r="F356" s="31">
        <v>0.67290000000000005</v>
      </c>
    </row>
    <row r="357" spans="1:6" x14ac:dyDescent="0.25">
      <c r="A357" s="8" t="s">
        <v>153</v>
      </c>
      <c r="B357" s="8" t="s">
        <v>169</v>
      </c>
      <c r="C357" s="42">
        <v>131</v>
      </c>
      <c r="D357" s="19">
        <v>25</v>
      </c>
      <c r="E357" s="42">
        <v>371</v>
      </c>
      <c r="F357" s="31">
        <f t="shared" si="36"/>
        <v>0.42048517520215634</v>
      </c>
    </row>
    <row r="358" spans="1:6" x14ac:dyDescent="0.25">
      <c r="A358" s="8" t="s">
        <v>153</v>
      </c>
      <c r="B358" s="8" t="s">
        <v>170</v>
      </c>
      <c r="C358" s="42">
        <v>128</v>
      </c>
      <c r="D358" s="19">
        <v>16</v>
      </c>
      <c r="E358" s="42">
        <v>318</v>
      </c>
      <c r="F358" s="31">
        <f t="shared" si="36"/>
        <v>0.45283018867924529</v>
      </c>
    </row>
    <row r="359" spans="1:6" x14ac:dyDescent="0.25">
      <c r="A359" s="8" t="s">
        <v>153</v>
      </c>
      <c r="B359" s="8" t="s">
        <v>171</v>
      </c>
      <c r="C359" s="42">
        <v>79</v>
      </c>
      <c r="D359" s="19">
        <v>9</v>
      </c>
      <c r="E359" s="42">
        <v>209</v>
      </c>
      <c r="F359" s="31">
        <f t="shared" si="36"/>
        <v>0.42105263157894735</v>
      </c>
    </row>
    <row r="360" spans="1:6" x14ac:dyDescent="0.25">
      <c r="A360" s="8" t="s">
        <v>153</v>
      </c>
      <c r="B360" s="8" t="s">
        <v>336</v>
      </c>
      <c r="C360" s="44">
        <f>E360*0.8705</f>
        <v>38.302</v>
      </c>
      <c r="D360" s="19">
        <v>0</v>
      </c>
      <c r="E360" s="42">
        <v>44</v>
      </c>
      <c r="F360" s="31">
        <v>0.87050000000000005</v>
      </c>
    </row>
    <row r="361" spans="1:6" x14ac:dyDescent="0.25">
      <c r="A361" s="8" t="s">
        <v>153</v>
      </c>
      <c r="B361" s="8" t="s">
        <v>172</v>
      </c>
      <c r="C361" s="42">
        <v>146</v>
      </c>
      <c r="D361" s="19">
        <v>23</v>
      </c>
      <c r="E361" s="42">
        <v>397</v>
      </c>
      <c r="F361" s="31">
        <f t="shared" si="36"/>
        <v>0.4256926952141058</v>
      </c>
    </row>
    <row r="362" spans="1:6" x14ac:dyDescent="0.25">
      <c r="A362" s="8" t="s">
        <v>153</v>
      </c>
      <c r="B362" s="8" t="s">
        <v>173</v>
      </c>
      <c r="C362" s="42">
        <v>33</v>
      </c>
      <c r="D362" s="19">
        <v>7</v>
      </c>
      <c r="E362" s="42">
        <v>97</v>
      </c>
      <c r="F362" s="31">
        <f t="shared" si="36"/>
        <v>0.41237113402061853</v>
      </c>
    </row>
    <row r="363" spans="1:6" x14ac:dyDescent="0.25">
      <c r="A363" s="8" t="s">
        <v>153</v>
      </c>
      <c r="B363" s="8" t="s">
        <v>305</v>
      </c>
      <c r="C363" s="44">
        <f>E363*0.6414</f>
        <v>226.41419999999999</v>
      </c>
      <c r="D363" s="19">
        <v>0</v>
      </c>
      <c r="E363" s="42">
        <v>353</v>
      </c>
      <c r="F363" s="31">
        <v>0.64139999999999997</v>
      </c>
    </row>
    <row r="364" spans="1:6" x14ac:dyDescent="0.25">
      <c r="A364" s="8" t="s">
        <v>153</v>
      </c>
      <c r="B364" s="8" t="s">
        <v>174</v>
      </c>
      <c r="C364" s="42">
        <v>249</v>
      </c>
      <c r="D364" s="19">
        <v>42</v>
      </c>
      <c r="E364" s="42">
        <v>778</v>
      </c>
      <c r="F364" s="31">
        <f t="shared" si="36"/>
        <v>0.37403598971722363</v>
      </c>
    </row>
    <row r="365" spans="1:6" x14ac:dyDescent="0.25">
      <c r="A365" s="8" t="s">
        <v>153</v>
      </c>
      <c r="B365" s="8" t="s">
        <v>337</v>
      </c>
      <c r="C365" s="44">
        <f>E365*0.832</f>
        <v>14.144</v>
      </c>
      <c r="D365" s="19">
        <v>0</v>
      </c>
      <c r="E365" s="42">
        <v>17</v>
      </c>
      <c r="F365" s="31">
        <v>0.83199999999999996</v>
      </c>
    </row>
    <row r="366" spans="1:6" x14ac:dyDescent="0.25">
      <c r="A366" s="8" t="s">
        <v>153</v>
      </c>
      <c r="B366" s="8" t="s">
        <v>341</v>
      </c>
      <c r="C366" s="44">
        <f>E366*0.8089</f>
        <v>151.26429999999999</v>
      </c>
      <c r="D366" s="19">
        <v>0</v>
      </c>
      <c r="E366" s="42">
        <v>187</v>
      </c>
      <c r="F366" s="31">
        <v>0.80889999999999995</v>
      </c>
    </row>
    <row r="367" spans="1:6" x14ac:dyDescent="0.25">
      <c r="A367" s="8" t="s">
        <v>153</v>
      </c>
      <c r="B367" s="8" t="s">
        <v>175</v>
      </c>
      <c r="C367" s="42">
        <v>233</v>
      </c>
      <c r="D367" s="19">
        <v>27</v>
      </c>
      <c r="E367" s="48">
        <v>809</v>
      </c>
      <c r="F367" s="31">
        <f t="shared" si="36"/>
        <v>0.32138442521631644</v>
      </c>
    </row>
    <row r="368" spans="1:6" x14ac:dyDescent="0.25">
      <c r="A368" s="8" t="s">
        <v>153</v>
      </c>
      <c r="B368" s="8" t="s">
        <v>176</v>
      </c>
      <c r="C368" s="42">
        <v>217</v>
      </c>
      <c r="D368" s="19">
        <v>26</v>
      </c>
      <c r="E368" s="42">
        <v>604</v>
      </c>
      <c r="F368" s="31">
        <f t="shared" si="36"/>
        <v>0.40231788079470199</v>
      </c>
    </row>
    <row r="369" spans="1:6" x14ac:dyDescent="0.25">
      <c r="A369" s="8" t="s">
        <v>153</v>
      </c>
      <c r="B369" s="8" t="s">
        <v>342</v>
      </c>
      <c r="C369" s="44">
        <f>E369*0.6483</f>
        <v>81.6858</v>
      </c>
      <c r="D369" s="19">
        <v>0</v>
      </c>
      <c r="E369" s="42">
        <v>126</v>
      </c>
      <c r="F369" s="31">
        <v>0.64829999999999999</v>
      </c>
    </row>
    <row r="370" spans="1:6" x14ac:dyDescent="0.25">
      <c r="A370" s="6" t="s">
        <v>437</v>
      </c>
      <c r="B370" s="38"/>
      <c r="C370" s="7">
        <f>SUM(C371)</f>
        <v>306.32959999999997</v>
      </c>
      <c r="D370" s="7">
        <f>SUM(D371)</f>
        <v>0</v>
      </c>
      <c r="E370" s="7">
        <f>SUM(E371)</f>
        <v>386</v>
      </c>
      <c r="F370" s="41">
        <f t="shared" si="36"/>
        <v>0.79359999999999997</v>
      </c>
    </row>
    <row r="371" spans="1:6" x14ac:dyDescent="0.25">
      <c r="A371" s="8" t="s">
        <v>177</v>
      </c>
      <c r="B371" s="8" t="s">
        <v>438</v>
      </c>
      <c r="C371" s="22">
        <f>E371*0.7936</f>
        <v>306.32959999999997</v>
      </c>
      <c r="D371" s="22">
        <v>0</v>
      </c>
      <c r="E371" s="22">
        <v>386</v>
      </c>
      <c r="F371" s="32">
        <v>0.79359999999999997</v>
      </c>
    </row>
    <row r="372" spans="1:6" x14ac:dyDescent="0.25">
      <c r="A372" s="6" t="s">
        <v>439</v>
      </c>
      <c r="B372" s="38"/>
      <c r="C372" s="7">
        <f>SUM(C373)</f>
        <v>123.623</v>
      </c>
      <c r="D372" s="7">
        <f>SUM(D373)</f>
        <v>0</v>
      </c>
      <c r="E372" s="7">
        <f>SUM(E373)</f>
        <v>181</v>
      </c>
      <c r="F372" s="41">
        <f t="shared" ref="F372" si="37">(C372+D372)/E372</f>
        <v>0.68300000000000005</v>
      </c>
    </row>
    <row r="373" spans="1:6" x14ac:dyDescent="0.25">
      <c r="A373" s="8" t="s">
        <v>178</v>
      </c>
      <c r="B373" s="8" t="s">
        <v>440</v>
      </c>
      <c r="C373" s="44">
        <f>E373*0.683</f>
        <v>123.623</v>
      </c>
      <c r="D373" s="42">
        <v>0</v>
      </c>
      <c r="E373" s="42">
        <v>181</v>
      </c>
      <c r="F373" s="32">
        <v>0.68300000000000005</v>
      </c>
    </row>
    <row r="374" spans="1:6" x14ac:dyDescent="0.25">
      <c r="A374" s="6" t="s">
        <v>441</v>
      </c>
      <c r="B374" s="38"/>
      <c r="C374" s="7">
        <f>SUM(C375:C377)</f>
        <v>624.25170000000003</v>
      </c>
      <c r="D374" s="7">
        <f>SUM(D375:D377)</f>
        <v>0</v>
      </c>
      <c r="E374" s="7">
        <f>SUM(E375:E377)</f>
        <v>657</v>
      </c>
      <c r="F374" s="41">
        <f t="shared" ref="F374" si="38">(C374+D374)/E374</f>
        <v>0.95015479452054796</v>
      </c>
    </row>
    <row r="375" spans="1:6" x14ac:dyDescent="0.25">
      <c r="A375" s="8" t="s">
        <v>179</v>
      </c>
      <c r="B375" s="8" t="s">
        <v>508</v>
      </c>
      <c r="C375" s="44">
        <f>E375*0.9067</f>
        <v>53.4953</v>
      </c>
      <c r="D375" s="12">
        <v>0</v>
      </c>
      <c r="E375" s="12">
        <v>59</v>
      </c>
      <c r="F375" s="32">
        <v>1</v>
      </c>
    </row>
    <row r="376" spans="1:6" x14ac:dyDescent="0.25">
      <c r="A376" s="8" t="s">
        <v>179</v>
      </c>
      <c r="B376" s="8" t="s">
        <v>442</v>
      </c>
      <c r="C376" s="44">
        <f>E376*1</f>
        <v>306</v>
      </c>
      <c r="D376" s="12">
        <v>0</v>
      </c>
      <c r="E376" s="12">
        <v>306</v>
      </c>
      <c r="F376" s="32">
        <v>1</v>
      </c>
    </row>
    <row r="377" spans="1:6" x14ac:dyDescent="0.25">
      <c r="A377" s="8" t="s">
        <v>179</v>
      </c>
      <c r="B377" s="8" t="s">
        <v>443</v>
      </c>
      <c r="C377" s="44">
        <f>E377*0.9067</f>
        <v>264.75639999999999</v>
      </c>
      <c r="D377" s="12">
        <v>0</v>
      </c>
      <c r="E377" s="12">
        <v>292</v>
      </c>
      <c r="F377" s="32">
        <v>0.90669999999999995</v>
      </c>
    </row>
    <row r="378" spans="1:6" x14ac:dyDescent="0.25">
      <c r="A378" s="6" t="s">
        <v>444</v>
      </c>
      <c r="B378" s="38"/>
      <c r="C378" s="7">
        <f>SUM(C379:C389)</f>
        <v>879.96400000000006</v>
      </c>
      <c r="D378" s="7">
        <f>SUM(D379:D389)</f>
        <v>61</v>
      </c>
      <c r="E378" s="7">
        <f>SUM(E379:E389)</f>
        <v>2056</v>
      </c>
      <c r="F378" s="41">
        <f t="shared" ref="F378:F384" si="39">(C378+D378)/E378</f>
        <v>0.45766731517509729</v>
      </c>
    </row>
    <row r="379" spans="1:6" x14ac:dyDescent="0.25">
      <c r="A379" s="8" t="s">
        <v>180</v>
      </c>
      <c r="B379" s="8" t="s">
        <v>445</v>
      </c>
      <c r="C379" s="12">
        <v>90</v>
      </c>
      <c r="D379" s="12">
        <v>7</v>
      </c>
      <c r="E379" s="12">
        <v>176</v>
      </c>
      <c r="F379" s="32">
        <f t="shared" si="39"/>
        <v>0.55113636363636365</v>
      </c>
    </row>
    <row r="380" spans="1:6" x14ac:dyDescent="0.25">
      <c r="A380" s="8" t="s">
        <v>180</v>
      </c>
      <c r="B380" s="8" t="s">
        <v>446</v>
      </c>
      <c r="C380" s="12">
        <v>92</v>
      </c>
      <c r="D380" s="12">
        <v>4</v>
      </c>
      <c r="E380" s="12">
        <v>289</v>
      </c>
      <c r="F380" s="32">
        <f t="shared" si="39"/>
        <v>0.33217993079584773</v>
      </c>
    </row>
    <row r="381" spans="1:6" x14ac:dyDescent="0.25">
      <c r="A381" s="8" t="s">
        <v>180</v>
      </c>
      <c r="B381" s="8" t="s">
        <v>447</v>
      </c>
      <c r="C381" s="12">
        <v>97</v>
      </c>
      <c r="D381" s="12">
        <v>15</v>
      </c>
      <c r="E381" s="12">
        <v>267</v>
      </c>
      <c r="F381" s="32">
        <f t="shared" si="39"/>
        <v>0.41947565543071164</v>
      </c>
    </row>
    <row r="382" spans="1:6" x14ac:dyDescent="0.25">
      <c r="A382" s="8" t="s">
        <v>180</v>
      </c>
      <c r="B382" s="8" t="s">
        <v>448</v>
      </c>
      <c r="C382" s="12">
        <v>163</v>
      </c>
      <c r="D382" s="12">
        <v>21</v>
      </c>
      <c r="E382" s="12">
        <v>543</v>
      </c>
      <c r="F382" s="32">
        <f t="shared" si="39"/>
        <v>0.33885819521178639</v>
      </c>
    </row>
    <row r="383" spans="1:6" x14ac:dyDescent="0.25">
      <c r="A383" s="8" t="s">
        <v>180</v>
      </c>
      <c r="B383" s="8" t="s">
        <v>449</v>
      </c>
      <c r="C383" s="12">
        <v>10</v>
      </c>
      <c r="D383" s="12">
        <v>6</v>
      </c>
      <c r="E383" s="12">
        <v>74</v>
      </c>
      <c r="F383" s="32">
        <f t="shared" si="39"/>
        <v>0.21621621621621623</v>
      </c>
    </row>
    <row r="384" spans="1:6" x14ac:dyDescent="0.25">
      <c r="A384" s="8" t="s">
        <v>180</v>
      </c>
      <c r="B384" s="8" t="s">
        <v>450</v>
      </c>
      <c r="C384" s="12">
        <v>44</v>
      </c>
      <c r="D384" s="12">
        <v>3</v>
      </c>
      <c r="E384" s="12">
        <v>98</v>
      </c>
      <c r="F384" s="32">
        <f t="shared" si="39"/>
        <v>0.47959183673469385</v>
      </c>
    </row>
    <row r="385" spans="1:6" x14ac:dyDescent="0.25">
      <c r="A385" s="8" t="s">
        <v>180</v>
      </c>
      <c r="B385" s="8" t="s">
        <v>451</v>
      </c>
      <c r="C385" s="12">
        <v>16</v>
      </c>
      <c r="D385" s="12">
        <v>1</v>
      </c>
      <c r="E385" s="12">
        <v>36</v>
      </c>
      <c r="F385" s="32">
        <f>(C385+D385)/E385</f>
        <v>0.47222222222222221</v>
      </c>
    </row>
    <row r="386" spans="1:6" x14ac:dyDescent="0.25">
      <c r="A386" s="8" t="s">
        <v>180</v>
      </c>
      <c r="B386" s="8" t="s">
        <v>452</v>
      </c>
      <c r="C386" s="12">
        <v>32</v>
      </c>
      <c r="D386" s="12">
        <v>4</v>
      </c>
      <c r="E386" s="12">
        <v>77</v>
      </c>
      <c r="F386" s="32">
        <f>(C386+D386)/E386</f>
        <v>0.46753246753246752</v>
      </c>
    </row>
    <row r="387" spans="1:6" x14ac:dyDescent="0.25">
      <c r="A387" s="8" t="s">
        <v>180</v>
      </c>
      <c r="B387" s="8" t="s">
        <v>338</v>
      </c>
      <c r="C387" s="12">
        <f>E387*0.6268</f>
        <v>92.139600000000002</v>
      </c>
      <c r="D387" s="12">
        <v>0</v>
      </c>
      <c r="E387" s="12">
        <v>147</v>
      </c>
      <c r="F387" s="32">
        <v>0.62680000000000002</v>
      </c>
    </row>
    <row r="388" spans="1:6" x14ac:dyDescent="0.25">
      <c r="A388" s="8" t="s">
        <v>180</v>
      </c>
      <c r="B388" s="8" t="s">
        <v>453</v>
      </c>
      <c r="C388" s="12">
        <f>E388*0.6268</f>
        <v>56.411999999999999</v>
      </c>
      <c r="D388" s="12">
        <v>0</v>
      </c>
      <c r="E388" s="12">
        <v>90</v>
      </c>
      <c r="F388" s="32">
        <v>0.67679999999999996</v>
      </c>
    </row>
    <row r="389" spans="1:6" x14ac:dyDescent="0.25">
      <c r="A389" s="8" t="s">
        <v>180</v>
      </c>
      <c r="B389" s="8" t="s">
        <v>454</v>
      </c>
      <c r="C389" s="12">
        <f>E389*0.7236</f>
        <v>187.41240000000002</v>
      </c>
      <c r="D389" s="12">
        <v>0</v>
      </c>
      <c r="E389" s="12">
        <v>259</v>
      </c>
      <c r="F389" s="32">
        <v>0.72360000000000002</v>
      </c>
    </row>
    <row r="390" spans="1:6" x14ac:dyDescent="0.25">
      <c r="A390" s="6" t="s">
        <v>455</v>
      </c>
      <c r="B390" s="38"/>
      <c r="C390" s="7">
        <f>SUM(C391:C402)</f>
        <v>1782.0486000000001</v>
      </c>
      <c r="D390" s="7">
        <f>SUM(D391:D402)</f>
        <v>0</v>
      </c>
      <c r="E390" s="7">
        <f>SUM(E391:E402)</f>
        <v>1850</v>
      </c>
      <c r="F390" s="41">
        <f t="shared" ref="F390" si="40">(C390+D390)/E390</f>
        <v>0.96326951351351353</v>
      </c>
    </row>
    <row r="391" spans="1:6" x14ac:dyDescent="0.25">
      <c r="A391" s="8" t="s">
        <v>181</v>
      </c>
      <c r="B391" s="8" t="s">
        <v>489</v>
      </c>
      <c r="C391" s="44">
        <f>E391*1</f>
        <v>60</v>
      </c>
      <c r="D391" s="12">
        <v>0</v>
      </c>
      <c r="E391" s="12">
        <v>60</v>
      </c>
      <c r="F391" s="43">
        <v>1</v>
      </c>
    </row>
    <row r="392" spans="1:6" x14ac:dyDescent="0.25">
      <c r="A392" s="8" t="s">
        <v>181</v>
      </c>
      <c r="B392" s="8" t="s">
        <v>490</v>
      </c>
      <c r="C392" s="44">
        <f t="shared" ref="C392:C402" si="41">E392*1</f>
        <v>202</v>
      </c>
      <c r="D392" s="12">
        <v>0</v>
      </c>
      <c r="E392" s="12">
        <v>202</v>
      </c>
      <c r="F392" s="43">
        <v>1</v>
      </c>
    </row>
    <row r="393" spans="1:6" x14ac:dyDescent="0.25">
      <c r="A393" s="8" t="s">
        <v>181</v>
      </c>
      <c r="B393" s="8" t="s">
        <v>491</v>
      </c>
      <c r="C393" s="44">
        <f t="shared" si="41"/>
        <v>195</v>
      </c>
      <c r="D393" s="12">
        <v>0</v>
      </c>
      <c r="E393" s="12">
        <v>195</v>
      </c>
      <c r="F393" s="43">
        <v>1</v>
      </c>
    </row>
    <row r="394" spans="1:6" x14ac:dyDescent="0.25">
      <c r="A394" s="8" t="s">
        <v>181</v>
      </c>
      <c r="B394" s="8" t="s">
        <v>492</v>
      </c>
      <c r="C394" s="44">
        <f t="shared" si="41"/>
        <v>226</v>
      </c>
      <c r="D394" s="12">
        <v>0</v>
      </c>
      <c r="E394" s="12">
        <v>226</v>
      </c>
      <c r="F394" s="43">
        <v>1</v>
      </c>
    </row>
    <row r="395" spans="1:6" x14ac:dyDescent="0.25">
      <c r="A395" s="8" t="s">
        <v>181</v>
      </c>
      <c r="B395" s="8" t="s">
        <v>493</v>
      </c>
      <c r="C395" s="44">
        <f t="shared" si="41"/>
        <v>53</v>
      </c>
      <c r="D395" s="12">
        <v>0</v>
      </c>
      <c r="E395" s="12">
        <v>53</v>
      </c>
      <c r="F395" s="43">
        <v>1</v>
      </c>
    </row>
    <row r="396" spans="1:6" x14ac:dyDescent="0.25">
      <c r="A396" s="8" t="s">
        <v>181</v>
      </c>
      <c r="B396" s="8" t="s">
        <v>494</v>
      </c>
      <c r="C396" s="44">
        <f>E396*0.8539</f>
        <v>216.0367</v>
      </c>
      <c r="D396" s="12">
        <v>0</v>
      </c>
      <c r="E396" s="12">
        <v>253</v>
      </c>
      <c r="F396" s="32">
        <v>0.85389999999999999</v>
      </c>
    </row>
    <row r="397" spans="1:6" x14ac:dyDescent="0.25">
      <c r="A397" s="8" t="s">
        <v>181</v>
      </c>
      <c r="B397" s="8" t="s">
        <v>495</v>
      </c>
      <c r="C397" s="44">
        <f t="shared" si="41"/>
        <v>114</v>
      </c>
      <c r="D397" s="12">
        <v>0</v>
      </c>
      <c r="E397" s="12">
        <v>114</v>
      </c>
      <c r="F397" s="43">
        <v>1</v>
      </c>
    </row>
    <row r="398" spans="1:6" x14ac:dyDescent="0.25">
      <c r="A398" s="8" t="s">
        <v>181</v>
      </c>
      <c r="B398" s="8" t="s">
        <v>496</v>
      </c>
      <c r="C398" s="44">
        <f t="shared" si="41"/>
        <v>31</v>
      </c>
      <c r="D398" s="12">
        <v>0</v>
      </c>
      <c r="E398" s="12">
        <v>31</v>
      </c>
      <c r="F398" s="43">
        <v>1</v>
      </c>
    </row>
    <row r="399" spans="1:6" x14ac:dyDescent="0.25">
      <c r="A399" s="8" t="s">
        <v>181</v>
      </c>
      <c r="B399" s="8" t="s">
        <v>497</v>
      </c>
      <c r="C399" s="44">
        <f>E399*0.9275</f>
        <v>301.4375</v>
      </c>
      <c r="D399" s="12">
        <v>0</v>
      </c>
      <c r="E399" s="12">
        <v>325</v>
      </c>
      <c r="F399" s="32">
        <v>0.92749999999999999</v>
      </c>
    </row>
    <row r="400" spans="1:6" x14ac:dyDescent="0.25">
      <c r="A400" s="8" t="s">
        <v>181</v>
      </c>
      <c r="B400" s="8" t="s">
        <v>498</v>
      </c>
      <c r="C400" s="44">
        <f>E400*0.9558</f>
        <v>160.5744</v>
      </c>
      <c r="D400" s="12">
        <v>0</v>
      </c>
      <c r="E400" s="12">
        <v>168</v>
      </c>
      <c r="F400" s="32">
        <v>0.95579999999999998</v>
      </c>
    </row>
    <row r="401" spans="1:6" x14ac:dyDescent="0.25">
      <c r="A401" s="8" t="s">
        <v>181</v>
      </c>
      <c r="B401" s="8" t="s">
        <v>499</v>
      </c>
      <c r="C401" s="44">
        <f t="shared" si="41"/>
        <v>145</v>
      </c>
      <c r="D401" s="12">
        <v>0</v>
      </c>
      <c r="E401" s="12">
        <v>145</v>
      </c>
      <c r="F401" s="43">
        <v>1</v>
      </c>
    </row>
    <row r="402" spans="1:6" x14ac:dyDescent="0.25">
      <c r="A402" s="8" t="s">
        <v>181</v>
      </c>
      <c r="B402" s="8" t="s">
        <v>500</v>
      </c>
      <c r="C402" s="44">
        <f t="shared" si="41"/>
        <v>78</v>
      </c>
      <c r="D402" s="12">
        <v>0</v>
      </c>
      <c r="E402" s="12">
        <v>78</v>
      </c>
      <c r="F402" s="43">
        <v>1</v>
      </c>
    </row>
    <row r="403" spans="1:6" x14ac:dyDescent="0.25">
      <c r="A403" s="6" t="s">
        <v>456</v>
      </c>
      <c r="B403" s="38"/>
      <c r="C403" s="7">
        <f>SUM(C404:C406)</f>
        <v>210.4736</v>
      </c>
      <c r="D403" s="7">
        <f>SUM(D404:D406)</f>
        <v>15</v>
      </c>
      <c r="E403" s="7">
        <f>SUM(E404:E406)</f>
        <v>432</v>
      </c>
      <c r="F403" s="54">
        <f t="shared" ref="F403:F415" si="42">(C403+D403)/E403</f>
        <v>0.52192962962962963</v>
      </c>
    </row>
    <row r="404" spans="1:6" x14ac:dyDescent="0.25">
      <c r="A404" s="8" t="s">
        <v>182</v>
      </c>
      <c r="B404" s="8" t="s">
        <v>183</v>
      </c>
      <c r="C404" s="12">
        <v>48</v>
      </c>
      <c r="D404" s="12">
        <v>1</v>
      </c>
      <c r="E404" s="12">
        <v>99</v>
      </c>
      <c r="F404" s="31">
        <f t="shared" si="42"/>
        <v>0.49494949494949497</v>
      </c>
    </row>
    <row r="405" spans="1:6" x14ac:dyDescent="0.25">
      <c r="A405" s="8" t="s">
        <v>182</v>
      </c>
      <c r="B405" s="8" t="s">
        <v>501</v>
      </c>
      <c r="C405" s="12">
        <f>E405*0.6912</f>
        <v>88.473600000000005</v>
      </c>
      <c r="D405" s="12">
        <v>0</v>
      </c>
      <c r="E405" s="12">
        <v>128</v>
      </c>
      <c r="F405" s="31">
        <v>0.69120000000000004</v>
      </c>
    </row>
    <row r="406" spans="1:6" x14ac:dyDescent="0.25">
      <c r="A406" s="8" t="s">
        <v>182</v>
      </c>
      <c r="B406" s="8" t="s">
        <v>184</v>
      </c>
      <c r="C406" s="12">
        <v>74</v>
      </c>
      <c r="D406" s="12">
        <v>14</v>
      </c>
      <c r="E406" s="12">
        <v>205</v>
      </c>
      <c r="F406" s="31">
        <f t="shared" si="42"/>
        <v>0.42926829268292682</v>
      </c>
    </row>
    <row r="407" spans="1:6" x14ac:dyDescent="0.25">
      <c r="A407" s="6" t="s">
        <v>457</v>
      </c>
      <c r="B407" s="38"/>
      <c r="C407" s="17">
        <f>SUM(C408)</f>
        <v>214</v>
      </c>
      <c r="D407" s="17">
        <f t="shared" ref="D407:E407" si="43">SUM(D408)</f>
        <v>0</v>
      </c>
      <c r="E407" s="17">
        <f t="shared" si="43"/>
        <v>214</v>
      </c>
      <c r="F407" s="51">
        <f t="shared" si="42"/>
        <v>1</v>
      </c>
    </row>
    <row r="408" spans="1:6" x14ac:dyDescent="0.25">
      <c r="A408" s="8" t="s">
        <v>185</v>
      </c>
      <c r="B408" s="8" t="s">
        <v>502</v>
      </c>
      <c r="C408" s="44">
        <f>E408*1</f>
        <v>214</v>
      </c>
      <c r="D408" s="12">
        <v>0</v>
      </c>
      <c r="E408" s="12">
        <v>214</v>
      </c>
      <c r="F408" s="43">
        <v>1</v>
      </c>
    </row>
    <row r="409" spans="1:6" x14ac:dyDescent="0.25">
      <c r="A409" s="6" t="s">
        <v>458</v>
      </c>
      <c r="B409" s="38"/>
      <c r="C409" s="17">
        <f>SUM(C410:C414)</f>
        <v>307</v>
      </c>
      <c r="D409" s="17">
        <f t="shared" ref="D409:E409" si="44">SUM(D410:D414)</f>
        <v>78</v>
      </c>
      <c r="E409" s="17">
        <f t="shared" si="44"/>
        <v>1086</v>
      </c>
      <c r="F409" s="41">
        <f t="shared" si="42"/>
        <v>0.35451197053406996</v>
      </c>
    </row>
    <row r="410" spans="1:6" x14ac:dyDescent="0.25">
      <c r="A410" s="8" t="s">
        <v>186</v>
      </c>
      <c r="B410" s="8" t="s">
        <v>187</v>
      </c>
      <c r="C410" s="12">
        <v>42</v>
      </c>
      <c r="D410" s="12">
        <v>12</v>
      </c>
      <c r="E410" s="12">
        <v>155</v>
      </c>
      <c r="F410" s="31">
        <f t="shared" si="42"/>
        <v>0.34838709677419355</v>
      </c>
    </row>
    <row r="411" spans="1:6" x14ac:dyDescent="0.25">
      <c r="A411" s="8" t="s">
        <v>186</v>
      </c>
      <c r="B411" s="8" t="s">
        <v>188</v>
      </c>
      <c r="C411" s="12">
        <v>83</v>
      </c>
      <c r="D411" s="12">
        <v>16</v>
      </c>
      <c r="E411" s="12">
        <v>273</v>
      </c>
      <c r="F411" s="31">
        <f t="shared" si="42"/>
        <v>0.36263736263736263</v>
      </c>
    </row>
    <row r="412" spans="1:6" x14ac:dyDescent="0.25">
      <c r="A412" s="8" t="s">
        <v>186</v>
      </c>
      <c r="B412" s="8" t="s">
        <v>189</v>
      </c>
      <c r="C412" s="12">
        <v>86</v>
      </c>
      <c r="D412" s="12">
        <v>33</v>
      </c>
      <c r="E412" s="12">
        <v>307</v>
      </c>
      <c r="F412" s="31">
        <f t="shared" si="42"/>
        <v>0.38762214983713356</v>
      </c>
    </row>
    <row r="413" spans="1:6" x14ac:dyDescent="0.25">
      <c r="A413" s="8" t="s">
        <v>186</v>
      </c>
      <c r="B413" s="8" t="s">
        <v>190</v>
      </c>
      <c r="C413" s="12">
        <v>30</v>
      </c>
      <c r="D413" s="12">
        <v>4</v>
      </c>
      <c r="E413" s="12">
        <v>42</v>
      </c>
      <c r="F413" s="31">
        <f t="shared" si="42"/>
        <v>0.80952380952380953</v>
      </c>
    </row>
    <row r="414" spans="1:6" x14ac:dyDescent="0.25">
      <c r="A414" s="8" t="s">
        <v>186</v>
      </c>
      <c r="B414" s="8" t="s">
        <v>191</v>
      </c>
      <c r="C414" s="12">
        <v>66</v>
      </c>
      <c r="D414" s="12">
        <v>13</v>
      </c>
      <c r="E414" s="12">
        <v>309</v>
      </c>
      <c r="F414" s="31">
        <f t="shared" si="42"/>
        <v>0.25566343042071199</v>
      </c>
    </row>
    <row r="415" spans="1:6" x14ac:dyDescent="0.25">
      <c r="A415" s="6" t="s">
        <v>459</v>
      </c>
      <c r="B415" s="38"/>
      <c r="C415" s="17">
        <f>SUM(C416:C423)</f>
        <v>88.820899999999995</v>
      </c>
      <c r="D415" s="17">
        <f t="shared" ref="D415:E415" si="45">SUM(D416:D423)</f>
        <v>0</v>
      </c>
      <c r="E415" s="17">
        <f t="shared" si="45"/>
        <v>152</v>
      </c>
      <c r="F415" s="41">
        <f t="shared" si="42"/>
        <v>0.58434802631578942</v>
      </c>
    </row>
    <row r="416" spans="1:6" x14ac:dyDescent="0.25">
      <c r="A416" s="8" t="s">
        <v>192</v>
      </c>
      <c r="B416" s="8" t="s">
        <v>460</v>
      </c>
      <c r="C416" s="12">
        <f>E416*0.9777</f>
        <v>16.620899999999999</v>
      </c>
      <c r="D416" s="12">
        <v>0</v>
      </c>
      <c r="E416" s="12">
        <v>17</v>
      </c>
      <c r="F416" s="32">
        <v>0.97770000000000001</v>
      </c>
    </row>
    <row r="417" spans="1:6" x14ac:dyDescent="0.25">
      <c r="A417" s="8" t="s">
        <v>192</v>
      </c>
      <c r="B417" s="8" t="s">
        <v>461</v>
      </c>
      <c r="C417" s="12">
        <v>8</v>
      </c>
      <c r="D417" s="12">
        <v>0</v>
      </c>
      <c r="E417" s="12">
        <v>13</v>
      </c>
      <c r="F417" s="31">
        <f t="shared" ref="F417" si="46">(C417+D417)/E417</f>
        <v>0.61538461538461542</v>
      </c>
    </row>
    <row r="418" spans="1:6" x14ac:dyDescent="0.25">
      <c r="A418" s="8" t="s">
        <v>192</v>
      </c>
      <c r="B418" s="8" t="s">
        <v>209</v>
      </c>
      <c r="C418" s="55"/>
      <c r="D418" s="55"/>
      <c r="E418" s="55"/>
      <c r="F418" s="31">
        <v>0</v>
      </c>
    </row>
    <row r="419" spans="1:6" x14ac:dyDescent="0.25">
      <c r="A419" s="8" t="s">
        <v>192</v>
      </c>
      <c r="B419" s="8" t="s">
        <v>462</v>
      </c>
      <c r="C419" s="12">
        <f>E419*0.8</f>
        <v>11.200000000000001</v>
      </c>
      <c r="D419" s="12">
        <v>0</v>
      </c>
      <c r="E419" s="12">
        <v>14</v>
      </c>
      <c r="F419" s="32">
        <v>0.8</v>
      </c>
    </row>
    <row r="420" spans="1:6" x14ac:dyDescent="0.25">
      <c r="A420" s="8" t="s">
        <v>192</v>
      </c>
      <c r="B420" s="8" t="s">
        <v>463</v>
      </c>
      <c r="C420" s="12">
        <v>10</v>
      </c>
      <c r="D420" s="12">
        <v>0</v>
      </c>
      <c r="E420" s="12">
        <v>15</v>
      </c>
      <c r="F420" s="31">
        <f t="shared" ref="F420:F424" si="47">(C420+D420)/E420</f>
        <v>0.66666666666666663</v>
      </c>
    </row>
    <row r="421" spans="1:6" x14ac:dyDescent="0.25">
      <c r="A421" s="8" t="s">
        <v>192</v>
      </c>
      <c r="B421" s="8" t="s">
        <v>464</v>
      </c>
      <c r="C421" s="12">
        <f>E421*1</f>
        <v>13</v>
      </c>
      <c r="D421" s="12">
        <v>0</v>
      </c>
      <c r="E421" s="12">
        <v>13</v>
      </c>
      <c r="F421" s="45">
        <v>1</v>
      </c>
    </row>
    <row r="422" spans="1:6" x14ac:dyDescent="0.25">
      <c r="A422" s="8" t="s">
        <v>192</v>
      </c>
      <c r="B422" s="8" t="s">
        <v>193</v>
      </c>
      <c r="C422" s="12">
        <v>25</v>
      </c>
      <c r="D422" s="12">
        <v>0</v>
      </c>
      <c r="E422" s="12">
        <v>64</v>
      </c>
      <c r="F422" s="31">
        <f t="shared" si="47"/>
        <v>0.390625</v>
      </c>
    </row>
    <row r="423" spans="1:6" x14ac:dyDescent="0.25">
      <c r="A423" s="8" t="s">
        <v>192</v>
      </c>
      <c r="B423" s="8" t="s">
        <v>465</v>
      </c>
      <c r="C423" s="12">
        <v>5</v>
      </c>
      <c r="D423" s="12">
        <v>0</v>
      </c>
      <c r="E423" s="12">
        <v>16</v>
      </c>
      <c r="F423" s="31">
        <f t="shared" si="47"/>
        <v>0.3125</v>
      </c>
    </row>
    <row r="424" spans="1:6" x14ac:dyDescent="0.25">
      <c r="A424" s="6" t="s">
        <v>466</v>
      </c>
      <c r="B424" s="38"/>
      <c r="C424" s="17">
        <f>SUM(C425:C432)</f>
        <v>611.28</v>
      </c>
      <c r="D424" s="17">
        <f>SUM(D425:D432)</f>
        <v>0</v>
      </c>
      <c r="E424" s="17">
        <f>SUM(E425:E432)</f>
        <v>612</v>
      </c>
      <c r="F424" s="41">
        <f t="shared" si="47"/>
        <v>0.99882352941176467</v>
      </c>
    </row>
    <row r="425" spans="1:6" x14ac:dyDescent="0.25">
      <c r="A425" s="8" t="s">
        <v>194</v>
      </c>
      <c r="B425" s="8" t="s">
        <v>467</v>
      </c>
      <c r="C425" s="12">
        <f>E425*1</f>
        <v>31</v>
      </c>
      <c r="D425" s="12">
        <v>0</v>
      </c>
      <c r="E425" s="12">
        <v>31</v>
      </c>
      <c r="F425" s="45">
        <v>1</v>
      </c>
    </row>
    <row r="426" spans="1:6" x14ac:dyDescent="0.25">
      <c r="A426" s="8" t="s">
        <v>194</v>
      </c>
      <c r="B426" s="8" t="s">
        <v>468</v>
      </c>
      <c r="C426" s="12">
        <f t="shared" ref="C426:C431" si="48">E426*1</f>
        <v>134</v>
      </c>
      <c r="D426" s="12">
        <v>0</v>
      </c>
      <c r="E426" s="12">
        <v>134</v>
      </c>
      <c r="F426" s="45">
        <v>1</v>
      </c>
    </row>
    <row r="427" spans="1:6" x14ac:dyDescent="0.25">
      <c r="A427" s="8" t="s">
        <v>194</v>
      </c>
      <c r="B427" s="8" t="s">
        <v>195</v>
      </c>
      <c r="C427" s="12">
        <f t="shared" si="48"/>
        <v>20</v>
      </c>
      <c r="D427" s="12">
        <v>0</v>
      </c>
      <c r="E427" s="12">
        <v>20</v>
      </c>
      <c r="F427" s="45">
        <v>1</v>
      </c>
    </row>
    <row r="428" spans="1:6" x14ac:dyDescent="0.25">
      <c r="A428" s="8" t="s">
        <v>194</v>
      </c>
      <c r="B428" s="8" t="s">
        <v>469</v>
      </c>
      <c r="C428" s="12">
        <f t="shared" si="48"/>
        <v>53</v>
      </c>
      <c r="D428" s="12">
        <v>0</v>
      </c>
      <c r="E428" s="12">
        <v>53</v>
      </c>
      <c r="F428" s="45">
        <v>1</v>
      </c>
    </row>
    <row r="429" spans="1:6" x14ac:dyDescent="0.25">
      <c r="A429" s="8" t="s">
        <v>194</v>
      </c>
      <c r="B429" s="8" t="s">
        <v>470</v>
      </c>
      <c r="C429" s="12">
        <f t="shared" si="48"/>
        <v>121</v>
      </c>
      <c r="D429" s="12">
        <v>0</v>
      </c>
      <c r="E429" s="12">
        <v>121</v>
      </c>
      <c r="F429" s="45">
        <v>1</v>
      </c>
    </row>
    <row r="430" spans="1:6" x14ac:dyDescent="0.25">
      <c r="A430" s="8" t="s">
        <v>194</v>
      </c>
      <c r="B430" s="8" t="s">
        <v>471</v>
      </c>
      <c r="C430" s="12">
        <f t="shared" si="48"/>
        <v>215</v>
      </c>
      <c r="D430" s="12">
        <v>0</v>
      </c>
      <c r="E430" s="12">
        <v>215</v>
      </c>
      <c r="F430" s="45">
        <v>1</v>
      </c>
    </row>
    <row r="431" spans="1:6" x14ac:dyDescent="0.25">
      <c r="A431" s="8" t="s">
        <v>194</v>
      </c>
      <c r="B431" s="8" t="s">
        <v>472</v>
      </c>
      <c r="C431" s="12">
        <f t="shared" si="48"/>
        <v>20</v>
      </c>
      <c r="D431" s="12">
        <v>0</v>
      </c>
      <c r="E431" s="12">
        <v>20</v>
      </c>
      <c r="F431" s="45">
        <v>1</v>
      </c>
    </row>
    <row r="432" spans="1:6" x14ac:dyDescent="0.25">
      <c r="A432" s="8" t="s">
        <v>194</v>
      </c>
      <c r="B432" s="8" t="s">
        <v>473</v>
      </c>
      <c r="C432" s="12">
        <f>E432*0.96</f>
        <v>17.28</v>
      </c>
      <c r="D432" s="12">
        <v>0</v>
      </c>
      <c r="E432" s="12">
        <v>18</v>
      </c>
      <c r="F432" s="31">
        <v>0.96</v>
      </c>
    </row>
    <row r="433" spans="1:6" x14ac:dyDescent="0.25">
      <c r="A433" s="6" t="s">
        <v>474</v>
      </c>
      <c r="B433" s="38"/>
      <c r="C433" s="17">
        <f>SUM(C434:C435)</f>
        <v>44</v>
      </c>
      <c r="D433" s="17">
        <f>SUM(D434:D435)</f>
        <v>19</v>
      </c>
      <c r="E433" s="17">
        <f>SUM(E434:E435)</f>
        <v>375</v>
      </c>
      <c r="F433" s="41">
        <f t="shared" ref="F433:F440" si="49">(C433+D433)/E433</f>
        <v>0.16800000000000001</v>
      </c>
    </row>
    <row r="434" spans="1:6" x14ac:dyDescent="0.25">
      <c r="A434" s="8" t="s">
        <v>196</v>
      </c>
      <c r="B434" s="8" t="s">
        <v>197</v>
      </c>
      <c r="C434" s="12">
        <v>25</v>
      </c>
      <c r="D434" s="12">
        <v>7</v>
      </c>
      <c r="E434" s="12">
        <v>195</v>
      </c>
      <c r="F434" s="31">
        <f t="shared" si="49"/>
        <v>0.1641025641025641</v>
      </c>
    </row>
    <row r="435" spans="1:6" x14ac:dyDescent="0.25">
      <c r="A435" s="8" t="s">
        <v>196</v>
      </c>
      <c r="B435" s="8" t="s">
        <v>198</v>
      </c>
      <c r="C435" s="12">
        <v>19</v>
      </c>
      <c r="D435" s="12">
        <v>12</v>
      </c>
      <c r="E435" s="12">
        <v>180</v>
      </c>
      <c r="F435" s="31">
        <f t="shared" si="49"/>
        <v>0.17222222222222222</v>
      </c>
    </row>
    <row r="436" spans="1:6" x14ac:dyDescent="0.25">
      <c r="A436" s="6" t="s">
        <v>475</v>
      </c>
      <c r="B436" s="38"/>
      <c r="C436" s="17">
        <f>SUM(C437:C439)</f>
        <v>129</v>
      </c>
      <c r="D436" s="17">
        <f>SUM(D437:D439)</f>
        <v>0</v>
      </c>
      <c r="E436" s="17">
        <f>SUM(E437:E439)</f>
        <v>687</v>
      </c>
      <c r="F436" s="41">
        <f t="shared" si="49"/>
        <v>0.18777292576419213</v>
      </c>
    </row>
    <row r="437" spans="1:6" x14ac:dyDescent="0.25">
      <c r="A437" s="8" t="s">
        <v>199</v>
      </c>
      <c r="B437" s="8" t="s">
        <v>208</v>
      </c>
      <c r="C437" s="12">
        <v>40</v>
      </c>
      <c r="D437" s="12">
        <v>0</v>
      </c>
      <c r="E437" s="12">
        <v>154</v>
      </c>
      <c r="F437" s="31">
        <f t="shared" si="49"/>
        <v>0.25974025974025972</v>
      </c>
    </row>
    <row r="438" spans="1:6" x14ac:dyDescent="0.25">
      <c r="A438" s="8" t="s">
        <v>199</v>
      </c>
      <c r="B438" s="8" t="s">
        <v>200</v>
      </c>
      <c r="C438" s="12">
        <v>51</v>
      </c>
      <c r="D438" s="12">
        <v>0</v>
      </c>
      <c r="E438" s="12">
        <v>325</v>
      </c>
      <c r="F438" s="31">
        <f t="shared" si="49"/>
        <v>0.15692307692307692</v>
      </c>
    </row>
    <row r="439" spans="1:6" x14ac:dyDescent="0.25">
      <c r="A439" s="8" t="s">
        <v>199</v>
      </c>
      <c r="B439" s="8" t="s">
        <v>201</v>
      </c>
      <c r="C439" s="12">
        <v>38</v>
      </c>
      <c r="D439" s="12">
        <v>0</v>
      </c>
      <c r="E439" s="12">
        <v>208</v>
      </c>
      <c r="F439" s="31">
        <f t="shared" si="49"/>
        <v>0.18269230769230768</v>
      </c>
    </row>
    <row r="440" spans="1:6" x14ac:dyDescent="0.25">
      <c r="A440" s="6" t="s">
        <v>476</v>
      </c>
      <c r="B440" s="38"/>
      <c r="C440" s="17">
        <f>SUM(C441:C446)</f>
        <v>177.36519999999999</v>
      </c>
      <c r="D440" s="17">
        <f>SUM(D441:D446)</f>
        <v>0</v>
      </c>
      <c r="E440" s="17">
        <f>SUM(E441:E446)</f>
        <v>189</v>
      </c>
      <c r="F440" s="41">
        <f t="shared" si="49"/>
        <v>0.93844021164021152</v>
      </c>
    </row>
    <row r="441" spans="1:6" x14ac:dyDescent="0.25">
      <c r="A441" s="8" t="s">
        <v>202</v>
      </c>
      <c r="B441" s="8" t="s">
        <v>246</v>
      </c>
      <c r="C441" s="44">
        <f>E441*1</f>
        <v>33</v>
      </c>
      <c r="D441" s="42">
        <v>0</v>
      </c>
      <c r="E441" s="42">
        <v>33</v>
      </c>
      <c r="F441" s="43">
        <v>1</v>
      </c>
    </row>
    <row r="442" spans="1:6" x14ac:dyDescent="0.25">
      <c r="A442" s="8" t="s">
        <v>202</v>
      </c>
      <c r="B442" s="8" t="s">
        <v>247</v>
      </c>
      <c r="C442" s="44">
        <f t="shared" ref="C442:C445" si="50">E442*1</f>
        <v>18</v>
      </c>
      <c r="D442" s="42">
        <v>0</v>
      </c>
      <c r="E442" s="42">
        <v>18</v>
      </c>
      <c r="F442" s="43">
        <v>1</v>
      </c>
    </row>
    <row r="443" spans="1:6" x14ac:dyDescent="0.25">
      <c r="A443" s="8" t="s">
        <v>202</v>
      </c>
      <c r="B443" s="8" t="s">
        <v>248</v>
      </c>
      <c r="C443" s="44">
        <f t="shared" si="50"/>
        <v>11</v>
      </c>
      <c r="D443" s="42">
        <v>0</v>
      </c>
      <c r="E443" s="42">
        <v>11</v>
      </c>
      <c r="F443" s="43">
        <v>1</v>
      </c>
    </row>
    <row r="444" spans="1:6" x14ac:dyDescent="0.25">
      <c r="A444" s="8" t="s">
        <v>202</v>
      </c>
      <c r="B444" s="8" t="s">
        <v>249</v>
      </c>
      <c r="C444" s="44">
        <f>E444*0.8672</f>
        <v>63.305599999999998</v>
      </c>
      <c r="D444" s="42">
        <v>0</v>
      </c>
      <c r="E444" s="42">
        <v>73</v>
      </c>
      <c r="F444" s="32">
        <v>0.86719999999999997</v>
      </c>
    </row>
    <row r="445" spans="1:6" x14ac:dyDescent="0.25">
      <c r="A445" s="8" t="s">
        <v>202</v>
      </c>
      <c r="B445" s="8" t="s">
        <v>250</v>
      </c>
      <c r="C445" s="44">
        <f t="shared" si="50"/>
        <v>40</v>
      </c>
      <c r="D445" s="42">
        <v>0</v>
      </c>
      <c r="E445" s="42">
        <v>40</v>
      </c>
      <c r="F445" s="43">
        <v>1</v>
      </c>
    </row>
    <row r="446" spans="1:6" x14ac:dyDescent="0.25">
      <c r="A446" s="8" t="s">
        <v>202</v>
      </c>
      <c r="B446" s="8" t="s">
        <v>251</v>
      </c>
      <c r="C446" s="44">
        <f>E446*0.8614</f>
        <v>12.059600000000001</v>
      </c>
      <c r="D446" s="42">
        <v>0</v>
      </c>
      <c r="E446" s="42">
        <v>14</v>
      </c>
      <c r="F446" s="32">
        <v>0.86140000000000005</v>
      </c>
    </row>
    <row r="447" spans="1:6" x14ac:dyDescent="0.25">
      <c r="A447" s="6" t="s">
        <v>477</v>
      </c>
      <c r="B447" s="38"/>
      <c r="C447" s="17">
        <f>SUM(C448:C456)</f>
        <v>303.57010000000002</v>
      </c>
      <c r="D447" s="17">
        <f>SUM(D448:D456)</f>
        <v>0</v>
      </c>
      <c r="E447" s="17">
        <f>SUM(E448:E456)</f>
        <v>339</v>
      </c>
      <c r="F447" s="41">
        <f t="shared" ref="F447" si="51">(C447+D447)/E447</f>
        <v>0.89548702064896768</v>
      </c>
    </row>
    <row r="448" spans="1:6" x14ac:dyDescent="0.25">
      <c r="A448" s="8" t="s">
        <v>203</v>
      </c>
      <c r="B448" s="8" t="s">
        <v>252</v>
      </c>
      <c r="C448" s="44">
        <f>E448*1</f>
        <v>30</v>
      </c>
      <c r="D448" s="12">
        <v>0</v>
      </c>
      <c r="E448" s="12">
        <v>30</v>
      </c>
      <c r="F448" s="43">
        <v>1</v>
      </c>
    </row>
    <row r="449" spans="1:6" x14ac:dyDescent="0.25">
      <c r="A449" s="8" t="s">
        <v>203</v>
      </c>
      <c r="B449" s="8" t="s">
        <v>253</v>
      </c>
      <c r="C449" s="44">
        <f>E449*0.9332</f>
        <v>45.726800000000004</v>
      </c>
      <c r="D449" s="12">
        <v>0</v>
      </c>
      <c r="E449" s="12">
        <v>49</v>
      </c>
      <c r="F449" s="32">
        <v>0.93320000000000003</v>
      </c>
    </row>
    <row r="450" spans="1:6" x14ac:dyDescent="0.25">
      <c r="A450" s="8" t="s">
        <v>203</v>
      </c>
      <c r="B450" s="28" t="s">
        <v>283</v>
      </c>
      <c r="C450" s="12">
        <f>E450*0.8411</f>
        <v>12.616499999999998</v>
      </c>
      <c r="D450" s="12">
        <v>0</v>
      </c>
      <c r="E450" s="12">
        <v>15</v>
      </c>
      <c r="F450" s="32">
        <v>0.94110000000000005</v>
      </c>
    </row>
    <row r="451" spans="1:6" x14ac:dyDescent="0.25">
      <c r="A451" s="8" t="s">
        <v>203</v>
      </c>
      <c r="B451" s="28" t="s">
        <v>339</v>
      </c>
      <c r="C451" s="44">
        <f>E451*0.7723</f>
        <v>75.685400000000001</v>
      </c>
      <c r="D451" s="12">
        <v>0</v>
      </c>
      <c r="E451" s="12">
        <v>98</v>
      </c>
      <c r="F451" s="32">
        <v>0.77229999999999999</v>
      </c>
    </row>
    <row r="452" spans="1:6" x14ac:dyDescent="0.25">
      <c r="A452" s="8" t="s">
        <v>203</v>
      </c>
      <c r="B452" s="28" t="s">
        <v>285</v>
      </c>
      <c r="C452" s="44">
        <f>E452*0.8888</f>
        <v>20.442399999999999</v>
      </c>
      <c r="D452" s="12">
        <v>0</v>
      </c>
      <c r="E452" s="12">
        <v>23</v>
      </c>
      <c r="F452" s="32">
        <v>0.88880000000000003</v>
      </c>
    </row>
    <row r="453" spans="1:6" x14ac:dyDescent="0.25">
      <c r="A453" s="8" t="s">
        <v>203</v>
      </c>
      <c r="B453" s="8" t="s">
        <v>254</v>
      </c>
      <c r="C453" s="12">
        <f>E453*0.8726</f>
        <v>21.815000000000001</v>
      </c>
      <c r="D453" s="12">
        <v>0</v>
      </c>
      <c r="E453" s="12">
        <v>25</v>
      </c>
      <c r="F453" s="32">
        <v>0.87260000000000004</v>
      </c>
    </row>
    <row r="454" spans="1:6" x14ac:dyDescent="0.25">
      <c r="A454" s="8" t="s">
        <v>203</v>
      </c>
      <c r="B454" s="8" t="s">
        <v>255</v>
      </c>
      <c r="C454" s="44">
        <f>E454*0.948</f>
        <v>31.283999999999999</v>
      </c>
      <c r="D454" s="12">
        <v>0</v>
      </c>
      <c r="E454" s="12">
        <v>33</v>
      </c>
      <c r="F454" s="32">
        <v>0.94799999999999995</v>
      </c>
    </row>
    <row r="455" spans="1:6" x14ac:dyDescent="0.25">
      <c r="A455" s="8" t="s">
        <v>203</v>
      </c>
      <c r="B455" s="8" t="s">
        <v>256</v>
      </c>
      <c r="C455" s="12">
        <f>E455*1</f>
        <v>50</v>
      </c>
      <c r="D455" s="12">
        <v>0</v>
      </c>
      <c r="E455" s="12">
        <v>50</v>
      </c>
      <c r="F455" s="43">
        <v>1</v>
      </c>
    </row>
    <row r="456" spans="1:6" x14ac:dyDescent="0.25">
      <c r="A456" s="8" t="s">
        <v>203</v>
      </c>
      <c r="B456" s="8" t="s">
        <v>284</v>
      </c>
      <c r="C456" s="44">
        <f>E456*1</f>
        <v>16</v>
      </c>
      <c r="D456" s="12">
        <v>0</v>
      </c>
      <c r="E456" s="12">
        <v>16</v>
      </c>
      <c r="F456" s="43">
        <v>1</v>
      </c>
    </row>
    <row r="457" spans="1:6" x14ac:dyDescent="0.25">
      <c r="A457" s="6" t="s">
        <v>478</v>
      </c>
      <c r="B457" s="38"/>
      <c r="C457" s="17">
        <f>SUM(C458:C460)</f>
        <v>444</v>
      </c>
      <c r="D457" s="17">
        <f>SUM(D458:D460)</f>
        <v>0</v>
      </c>
      <c r="E457" s="17">
        <f>SUM(E458:E460)</f>
        <v>444</v>
      </c>
      <c r="F457" s="51">
        <f t="shared" ref="F457" si="52">(C457+D457)/E457</f>
        <v>1</v>
      </c>
    </row>
    <row r="458" spans="1:6" x14ac:dyDescent="0.25">
      <c r="A458" s="8" t="s">
        <v>204</v>
      </c>
      <c r="B458" s="8" t="s">
        <v>479</v>
      </c>
      <c r="C458" s="12">
        <f>E458*1</f>
        <v>201</v>
      </c>
      <c r="D458" s="12">
        <v>0</v>
      </c>
      <c r="E458" s="12">
        <v>201</v>
      </c>
      <c r="F458" s="43">
        <v>1</v>
      </c>
    </row>
    <row r="459" spans="1:6" x14ac:dyDescent="0.25">
      <c r="A459" s="8" t="s">
        <v>204</v>
      </c>
      <c r="B459" s="8" t="s">
        <v>480</v>
      </c>
      <c r="C459" s="12">
        <f t="shared" ref="C459:C460" si="53">E459*1</f>
        <v>134</v>
      </c>
      <c r="D459" s="12">
        <v>0</v>
      </c>
      <c r="E459" s="12">
        <v>134</v>
      </c>
      <c r="F459" s="43">
        <v>1</v>
      </c>
    </row>
    <row r="460" spans="1:6" ht="16.5" thickBot="1" x14ac:dyDescent="0.3">
      <c r="A460" s="8" t="s">
        <v>204</v>
      </c>
      <c r="B460" s="8" t="s">
        <v>481</v>
      </c>
      <c r="C460" s="12">
        <f t="shared" si="53"/>
        <v>109</v>
      </c>
      <c r="D460" s="56">
        <v>0</v>
      </c>
      <c r="E460" s="56">
        <v>109</v>
      </c>
      <c r="F460" s="43">
        <v>1</v>
      </c>
    </row>
    <row r="461" spans="1:6" x14ac:dyDescent="0.25">
      <c r="A461" s="30" t="s">
        <v>307</v>
      </c>
      <c r="B461" s="26"/>
      <c r="C461" s="27"/>
      <c r="D461" s="27"/>
      <c r="E461" s="27"/>
      <c r="F461" s="34"/>
    </row>
    <row r="462" spans="1:6" x14ac:dyDescent="0.25"/>
    <row r="463" spans="1:6" x14ac:dyDescent="0.25"/>
    <row r="464" spans="1:6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</sheetData>
  <mergeCells count="1">
    <mergeCell ref="A1:F1"/>
  </mergeCells>
  <pageMargins left="0.7" right="0.7" top="0.75" bottom="0.75" header="0.3" footer="0.3"/>
  <pageSetup scale="6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Oct. 2021 Data</vt:lpstr>
    </vt:vector>
  </TitlesOfParts>
  <Company>Dept. of Education and Early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easeitz</dc:creator>
  <cp:lastModifiedBy>Seitz, Elizabeth A (EED)</cp:lastModifiedBy>
  <cp:lastPrinted>2019-01-22T17:05:52Z</cp:lastPrinted>
  <dcterms:created xsi:type="dcterms:W3CDTF">2014-01-21T20:14:03Z</dcterms:created>
  <dcterms:modified xsi:type="dcterms:W3CDTF">2022-01-05T20:35:38Z</dcterms:modified>
</cp:coreProperties>
</file>